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drawings/drawing5.xml" ContentType="application/vnd.openxmlformats-officedocument.drawing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trlProps/ctrlProp23.xml" ContentType="application/vnd.ms-excel.controlproperties+xml"/>
  <Override PartName="/xl/drawings/drawing7.xml" ContentType="application/vnd.openxmlformats-officedocument.drawing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drawings/drawing9.xml" ContentType="application/vnd.openxmlformats-officedocument.drawing+xml"/>
  <Override PartName="/xl/ctrlProps/ctrlProp26.xml" ContentType="application/vnd.ms-excel.controlproperties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trlProps/ctrlProp27.xml" ContentType="application/vnd.ms-excel.controlproperties+xml"/>
  <Override PartName="/xl/drawings/drawing11.xml" ContentType="application/vnd.openxmlformats-officedocument.drawing+xml"/>
  <Override PartName="/xl/ctrlProps/ctrlProp28.xml" ContentType="application/vnd.ms-excel.controlproperties+xml"/>
  <Override PartName="/xl/drawings/drawing12.xml" ContentType="application/vnd.openxmlformats-officedocument.drawing+xml"/>
  <Override PartName="/xl/ctrlProps/ctrlProp29.xml" ContentType="application/vnd.ms-excel.controlproperties+xml"/>
  <Override PartName="/xl/drawings/drawing13.xml" ContentType="application/vnd.openxmlformats-officedocument.drawing+xml"/>
  <Override PartName="/xl/ctrlProps/ctrlProp30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trlProps/ctrlProp31.xml" ContentType="application/vnd.ms-excel.controlproperties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11745" tabRatio="840"/>
  </bookViews>
  <sheets>
    <sheet name="Inicio" sheetId="16" r:id="rId1"/>
    <sheet name="Balance inicial" sheetId="21" state="hidden" r:id="rId2"/>
    <sheet name="Inversiones" sheetId="1" state="hidden" r:id="rId3"/>
    <sheet name="Financiación a lp" sheetId="2" state="hidden" r:id="rId4"/>
    <sheet name="Ventas" sheetId="3" state="hidden" r:id="rId5"/>
    <sheet name="G. Variables" sheetId="4" state="hidden" r:id="rId6"/>
    <sheet name="G. Personal" sheetId="15" state="hidden" r:id="rId7"/>
    <sheet name="G. Fijos" sheetId="14" state="hidden" r:id="rId8"/>
    <sheet name="Resultados" sheetId="5" state="hidden" r:id="rId9"/>
    <sheet name="Circulantes" sheetId="6" state="hidden" r:id="rId10"/>
    <sheet name="Balances" sheetId="8" state="hidden" r:id="rId11"/>
    <sheet name="Presupuesto de capital" sheetId="7" state="hidden" r:id="rId12"/>
    <sheet name="Hoja de trabajo" sheetId="11" state="hidden" r:id="rId13"/>
    <sheet name="Tesorería" sheetId="9" state="hidden" r:id="rId14"/>
    <sheet name="Tesorería trimestral" sheetId="19" state="hidden" r:id="rId15"/>
    <sheet name="E.F.E." sheetId="10" state="hidden" r:id="rId16"/>
    <sheet name="Módulo1" sheetId="13" state="veryHidden" r:id="rId17"/>
    <sheet name="Ratios" sheetId="18" state="hidden" r:id="rId18"/>
    <sheet name="Punto de equilibrio" sheetId="20" state="hidden" r:id="rId19"/>
    <sheet name="INFORME" sheetId="23" state="hidden" r:id="rId20"/>
    <sheet name="INFORME 2" sheetId="24" state="hidden" r:id="rId21"/>
  </sheets>
  <definedNames>
    <definedName name="_xlnm._FilterDatabase" localSheetId="3" hidden="1">'Financiación a lp'!$A$15:$H$20</definedName>
    <definedName name="_xlnm.Print_Area" localSheetId="1">'Balance inicial'!$A$2:$J$40</definedName>
    <definedName name="_xlnm.Print_Area" localSheetId="10">Balances!$A$2:$O$38</definedName>
    <definedName name="_xlnm.Print_Area" localSheetId="9">Circulantes!$A$3:$T$43</definedName>
    <definedName name="_xlnm.Print_Area" localSheetId="15">E.F.E.!$A$1:$H$33</definedName>
    <definedName name="_xlnm.Print_Area" localSheetId="3">'Financiación a lp'!$A$3:$H$27</definedName>
    <definedName name="_xlnm.Print_Area" localSheetId="7">'G. Fijos'!$A$2:$J$34</definedName>
    <definedName name="_xlnm.Print_Area" localSheetId="6">'G. Personal'!$A$2:$AI$13</definedName>
    <definedName name="_xlnm.Print_Area" localSheetId="5">'G. Variables'!$A$2:$T$53,'G. Variables'!$A$54:$H$71</definedName>
    <definedName name="_xlnm.Print_Area" localSheetId="12">'Hoja de trabajo'!$A$1:$O$133</definedName>
    <definedName name="_xlnm.Print_Area" localSheetId="2">Inversiones!$A$2:$W$27</definedName>
    <definedName name="_xlnm.Print_Area" localSheetId="11">'Presupuesto de capital'!$A$2:$J$26</definedName>
    <definedName name="_xlnm.Print_Area" localSheetId="18">'Punto de equilibrio'!$A$2:$G$29</definedName>
    <definedName name="_xlnm.Print_Area" localSheetId="17">Ratios!$A$2:$M$37</definedName>
    <definedName name="_xlnm.Print_Area" localSheetId="8">Resultados!$A$2:$Q$28</definedName>
    <definedName name="_xlnm.Print_Area" localSheetId="13">Tesorería!$A$2:$G$28</definedName>
    <definedName name="_xlnm.Print_Area" localSheetId="14">'Tesorería trimestral'!$A$2:$K$126</definedName>
    <definedName name="_xlnm.Print_Area" localSheetId="4">Ventas!$A$2:$T$14,Ventas!$A$16:$G$30</definedName>
    <definedName name="Edificaciones" localSheetId="15">#REF!</definedName>
    <definedName name="Edificaciones" localSheetId="12">#REF!</definedName>
    <definedName name="Edificaciones" localSheetId="13">#REF!</definedName>
    <definedName name="Edificaciones" localSheetId="14">#REF!</definedName>
    <definedName name="Terrenos" localSheetId="15">#REF!</definedName>
    <definedName name="Terrenos" localSheetId="12">#REF!</definedName>
    <definedName name="Terrenos" localSheetId="13">#REF!</definedName>
    <definedName name="Terrenos" localSheetId="14">#REF!</definedName>
    <definedName name="_xlnm.Print_Titles" localSheetId="5">'G. Variables'!$2:$2</definedName>
    <definedName name="_xlnm.Print_Titles" localSheetId="2">Inversiones!$A:$X,Inversiones!$2:$2</definedName>
    <definedName name="_xlnm.Print_Titles" localSheetId="17">Ratios!$2:$2</definedName>
    <definedName name="_xlnm.Print_Titles" localSheetId="13">Tesorería!$2:$2</definedName>
    <definedName name="_xlnm.Print_Titles" localSheetId="14">'Tesorería trimestral'!$1:$1</definedName>
    <definedName name="_xlnm.Print_Titles" localSheetId="4">Ventas!$A:$T,Ventas!$2:$2</definedName>
  </definedNames>
  <calcPr calcId="145621" fullCalcOnLoad="1"/>
</workbook>
</file>

<file path=xl/calcChain.xml><?xml version="1.0" encoding="utf-8"?>
<calcChain xmlns="http://schemas.openxmlformats.org/spreadsheetml/2006/main">
  <c r="B8" i="24" l="1"/>
  <c r="F9" i="24"/>
  <c r="J9" i="24"/>
  <c r="M9" i="24"/>
  <c r="P9" i="24"/>
  <c r="S9" i="24"/>
  <c r="V9" i="24"/>
  <c r="F10" i="24"/>
  <c r="H10" i="24"/>
  <c r="B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B12" i="24"/>
  <c r="G12" i="24"/>
  <c r="I12" i="24"/>
  <c r="K12" i="24"/>
  <c r="N12" i="24"/>
  <c r="Q12" i="24"/>
  <c r="T12" i="24"/>
  <c r="W12" i="24"/>
  <c r="C13" i="24"/>
  <c r="D13" i="24"/>
  <c r="G13" i="24"/>
  <c r="H13" i="24"/>
  <c r="I13" i="24"/>
  <c r="J13" i="24"/>
  <c r="M13" i="24"/>
  <c r="P13" i="24"/>
  <c r="Q13" i="24"/>
  <c r="S13" i="24"/>
  <c r="V13" i="24"/>
  <c r="C14" i="24"/>
  <c r="D14" i="24"/>
  <c r="G14" i="24"/>
  <c r="H14" i="24"/>
  <c r="I14" i="24"/>
  <c r="C15" i="24"/>
  <c r="D15" i="24"/>
  <c r="G15" i="24"/>
  <c r="H15" i="24"/>
  <c r="I15" i="24"/>
  <c r="J15" i="24"/>
  <c r="M15" i="24"/>
  <c r="P15" i="24"/>
  <c r="S15" i="24"/>
  <c r="V15" i="24"/>
  <c r="B16" i="24"/>
  <c r="D16" i="24"/>
  <c r="G16" i="24"/>
  <c r="I16" i="24"/>
  <c r="K16" i="24"/>
  <c r="N16" i="24"/>
  <c r="Q16" i="24"/>
  <c r="T16" i="24"/>
  <c r="W16" i="24"/>
  <c r="C17" i="24"/>
  <c r="D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C18" i="24"/>
  <c r="D18" i="24"/>
  <c r="G18" i="24"/>
  <c r="H18" i="24"/>
  <c r="I18" i="24"/>
  <c r="J18" i="24"/>
  <c r="M18" i="24"/>
  <c r="P18" i="24"/>
  <c r="S18" i="24"/>
  <c r="V18" i="24"/>
  <c r="C19" i="24"/>
  <c r="D19" i="24"/>
  <c r="G19" i="24"/>
  <c r="H19" i="24"/>
  <c r="I19" i="24"/>
  <c r="J19" i="24"/>
  <c r="M19" i="24"/>
  <c r="P19" i="24"/>
  <c r="S19" i="24"/>
  <c r="V19" i="24"/>
  <c r="C20" i="24"/>
  <c r="D20" i="24"/>
  <c r="G20" i="24"/>
  <c r="H20" i="24"/>
  <c r="I20" i="24"/>
  <c r="J20" i="24"/>
  <c r="M20" i="24"/>
  <c r="P20" i="24"/>
  <c r="S20" i="24"/>
  <c r="V20" i="24"/>
  <c r="C21" i="24"/>
  <c r="D21" i="24"/>
  <c r="G21" i="24"/>
  <c r="H21" i="24"/>
  <c r="I21" i="24"/>
  <c r="J21" i="24"/>
  <c r="M21" i="24"/>
  <c r="P21" i="24"/>
  <c r="Q21" i="24"/>
  <c r="S21" i="24"/>
  <c r="V21" i="24"/>
  <c r="C22" i="24"/>
  <c r="D22" i="24"/>
  <c r="G22" i="24"/>
  <c r="H22" i="24"/>
  <c r="I22" i="24"/>
  <c r="J22" i="24"/>
  <c r="M22" i="24"/>
  <c r="P22" i="24"/>
  <c r="S22" i="24"/>
  <c r="V22" i="24"/>
  <c r="C23" i="24"/>
  <c r="D23" i="24"/>
  <c r="G23" i="24"/>
  <c r="H23" i="24"/>
  <c r="I23" i="24"/>
  <c r="J23" i="24"/>
  <c r="M23" i="24"/>
  <c r="P23" i="24"/>
  <c r="S23" i="24"/>
  <c r="V23" i="24"/>
  <c r="C24" i="24"/>
  <c r="D24" i="24"/>
  <c r="G24" i="24"/>
  <c r="H24" i="24"/>
  <c r="I24" i="24"/>
  <c r="C25" i="24"/>
  <c r="D25" i="24"/>
  <c r="G25" i="24"/>
  <c r="H25" i="24"/>
  <c r="I25" i="24"/>
  <c r="J25" i="24"/>
  <c r="M25" i="24"/>
  <c r="P25" i="24"/>
  <c r="S25" i="24"/>
  <c r="V25" i="24"/>
  <c r="B26" i="24"/>
  <c r="C26" i="24"/>
  <c r="G26" i="24"/>
  <c r="I26" i="24"/>
  <c r="K26" i="24"/>
  <c r="L26" i="24"/>
  <c r="N26" i="24"/>
  <c r="O26" i="24"/>
  <c r="Q26" i="24"/>
  <c r="R26" i="24"/>
  <c r="T26" i="24"/>
  <c r="U26" i="24"/>
  <c r="W26" i="24"/>
  <c r="X26" i="24"/>
  <c r="C27" i="24"/>
  <c r="D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C28" i="24"/>
  <c r="D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G29" i="24"/>
  <c r="I29" i="24"/>
  <c r="K29" i="24"/>
  <c r="N29" i="24"/>
  <c r="Q29" i="24"/>
  <c r="T29" i="24"/>
  <c r="W29" i="24"/>
  <c r="B30" i="24"/>
  <c r="F30" i="24"/>
  <c r="G30" i="24"/>
  <c r="I30" i="24"/>
  <c r="K30" i="24"/>
  <c r="L30" i="24"/>
  <c r="N30" i="24"/>
  <c r="O30" i="24"/>
  <c r="Q30" i="24"/>
  <c r="R30" i="24"/>
  <c r="T30" i="24"/>
  <c r="U30" i="24"/>
  <c r="W30" i="24"/>
  <c r="X30" i="24"/>
  <c r="E36" i="24"/>
  <c r="E37" i="24"/>
  <c r="G37" i="24"/>
  <c r="E38" i="24"/>
  <c r="F38" i="24"/>
  <c r="G38" i="24"/>
  <c r="H38" i="24"/>
  <c r="F39" i="24"/>
  <c r="H39" i="24"/>
  <c r="F40" i="24"/>
  <c r="G40" i="24"/>
  <c r="H40" i="24"/>
  <c r="F41" i="24"/>
  <c r="G41" i="24"/>
  <c r="H41" i="24"/>
  <c r="F42" i="24"/>
  <c r="G42" i="24"/>
  <c r="H42" i="24"/>
  <c r="F43" i="24"/>
  <c r="H43" i="24"/>
  <c r="F44" i="24"/>
  <c r="G44" i="24"/>
  <c r="H44" i="24"/>
  <c r="F45" i="24"/>
  <c r="G45" i="24"/>
  <c r="H45" i="24"/>
  <c r="F46" i="24"/>
  <c r="G46" i="24"/>
  <c r="H46" i="24"/>
  <c r="F47" i="24"/>
  <c r="G47" i="24"/>
  <c r="H47" i="24"/>
  <c r="F48" i="24"/>
  <c r="G48" i="24"/>
  <c r="H48" i="24"/>
  <c r="F49" i="24"/>
  <c r="G49" i="24"/>
  <c r="H49" i="24"/>
  <c r="F50" i="24"/>
  <c r="G50" i="24"/>
  <c r="H50" i="24"/>
  <c r="F51" i="24"/>
  <c r="G51" i="24"/>
  <c r="H51" i="24"/>
  <c r="F52" i="24"/>
  <c r="G52" i="24"/>
  <c r="H52" i="24"/>
  <c r="F53" i="24"/>
  <c r="H53" i="24"/>
  <c r="F54" i="24"/>
  <c r="G54" i="24"/>
  <c r="H54" i="24"/>
  <c r="F55" i="24"/>
  <c r="G55" i="24"/>
  <c r="H55" i="24"/>
  <c r="F56" i="24"/>
  <c r="H56" i="24"/>
  <c r="E57" i="24"/>
  <c r="F57" i="24"/>
  <c r="H57" i="24"/>
  <c r="B17" i="23"/>
  <c r="B31" i="23"/>
  <c r="C31" i="23"/>
  <c r="B32" i="23"/>
  <c r="C32" i="23"/>
  <c r="B33" i="23"/>
  <c r="C33" i="23"/>
  <c r="B39" i="23"/>
  <c r="D39" i="23"/>
  <c r="B40" i="23"/>
  <c r="D40" i="23"/>
  <c r="B41" i="23"/>
  <c r="D41" i="23"/>
  <c r="B43" i="23"/>
  <c r="D43" i="23"/>
  <c r="B45" i="23"/>
  <c r="D45" i="23"/>
  <c r="B46" i="23"/>
  <c r="D46" i="23"/>
  <c r="B48" i="23"/>
  <c r="D48" i="23"/>
  <c r="B49" i="23"/>
  <c r="D49" i="23"/>
  <c r="D50" i="23"/>
  <c r="B51" i="23"/>
  <c r="D51" i="23"/>
  <c r="D5" i="10"/>
  <c r="E5" i="10"/>
  <c r="F5" i="10"/>
  <c r="G5" i="10"/>
  <c r="H5" i="10"/>
  <c r="D6" i="10"/>
  <c r="E6" i="10"/>
  <c r="F6" i="10"/>
  <c r="G6" i="10"/>
  <c r="H6" i="10"/>
  <c r="J4" i="19"/>
  <c r="J5" i="19"/>
  <c r="J6" i="19"/>
  <c r="J7" i="19"/>
  <c r="J8" i="19"/>
  <c r="J9" i="19"/>
  <c r="J12" i="19"/>
  <c r="J13" i="19"/>
  <c r="J15" i="19"/>
  <c r="J16" i="19"/>
  <c r="J17" i="19"/>
  <c r="J18" i="19"/>
  <c r="J20" i="19"/>
  <c r="J22" i="19"/>
  <c r="J23" i="19"/>
  <c r="J29" i="19"/>
  <c r="J30" i="19"/>
  <c r="J31" i="19"/>
  <c r="J32" i="19"/>
  <c r="J33" i="19"/>
  <c r="J34" i="19"/>
  <c r="J37" i="19"/>
  <c r="J38" i="19"/>
  <c r="J40" i="19"/>
  <c r="J41" i="19"/>
  <c r="J42" i="19"/>
  <c r="J43" i="19"/>
  <c r="J45" i="19"/>
  <c r="J47" i="19"/>
  <c r="J48" i="19"/>
  <c r="J54" i="19"/>
  <c r="J55" i="19"/>
  <c r="J56" i="19"/>
  <c r="J57" i="19"/>
  <c r="J58" i="19"/>
  <c r="J59" i="19"/>
  <c r="J62" i="19"/>
  <c r="J63" i="19"/>
  <c r="J65" i="19"/>
  <c r="J66" i="19"/>
  <c r="J67" i="19"/>
  <c r="J68" i="19"/>
  <c r="J70" i="19"/>
  <c r="J72" i="19"/>
  <c r="J73" i="19"/>
  <c r="J79" i="19"/>
  <c r="J80" i="19"/>
  <c r="J81" i="19"/>
  <c r="J82" i="19"/>
  <c r="J83" i="19"/>
  <c r="J84" i="19"/>
  <c r="J87" i="19"/>
  <c r="J88" i="19"/>
  <c r="J90" i="19"/>
  <c r="J91" i="19"/>
  <c r="J92" i="19"/>
  <c r="J93" i="19"/>
  <c r="J95" i="19"/>
  <c r="J97" i="19"/>
  <c r="J98" i="19"/>
  <c r="J104" i="19"/>
  <c r="J105" i="19"/>
  <c r="J106" i="19"/>
  <c r="J107" i="19"/>
  <c r="J108" i="19"/>
  <c r="J109" i="19"/>
  <c r="J112" i="19"/>
  <c r="J113" i="19"/>
  <c r="J115" i="19"/>
  <c r="J116" i="19"/>
  <c r="J117" i="19"/>
  <c r="J118" i="19"/>
  <c r="J120" i="19"/>
  <c r="J122" i="19"/>
  <c r="J123" i="19"/>
  <c r="G18" i="9"/>
  <c r="C116" i="19"/>
  <c r="D21" i="9"/>
  <c r="E27" i="10"/>
  <c r="E21" i="9"/>
  <c r="C69" i="19"/>
  <c r="E69" i="19"/>
  <c r="F21" i="9"/>
  <c r="G21" i="9"/>
  <c r="B9" i="11"/>
  <c r="L15" i="11"/>
  <c r="M15" i="11"/>
  <c r="I27" i="11"/>
  <c r="A28" i="11"/>
  <c r="E33" i="11"/>
  <c r="G33" i="11"/>
  <c r="L33" i="11"/>
  <c r="M33" i="11"/>
  <c r="E34" i="11"/>
  <c r="F34" i="11"/>
  <c r="G6" i="11"/>
  <c r="E35" i="11"/>
  <c r="F35" i="11"/>
  <c r="G22" i="11"/>
  <c r="E36" i="11"/>
  <c r="L36" i="11"/>
  <c r="M36" i="11"/>
  <c r="B53" i="11"/>
  <c r="C97" i="11"/>
  <c r="C53" i="11"/>
  <c r="D53" i="11"/>
  <c r="E53" i="11"/>
  <c r="L59" i="11"/>
  <c r="M59" i="11"/>
  <c r="A72" i="11"/>
  <c r="G76" i="11"/>
  <c r="E77" i="11"/>
  <c r="L77" i="11"/>
  <c r="M77" i="11"/>
  <c r="E78" i="11"/>
  <c r="F78" i="11"/>
  <c r="G50" i="11"/>
  <c r="E79" i="11"/>
  <c r="F79" i="11"/>
  <c r="G66" i="11"/>
  <c r="E80" i="11"/>
  <c r="L80" i="11"/>
  <c r="M80" i="11"/>
  <c r="B97" i="11"/>
  <c r="D97" i="11"/>
  <c r="L103" i="11"/>
  <c r="M103" i="11"/>
  <c r="A116" i="11"/>
  <c r="A160" i="11"/>
  <c r="A204" i="11"/>
  <c r="E121" i="11"/>
  <c r="E122" i="11"/>
  <c r="F122" i="11"/>
  <c r="G94" i="11"/>
  <c r="E123" i="11"/>
  <c r="F123" i="11"/>
  <c r="G110" i="11"/>
  <c r="E124" i="11"/>
  <c r="M124" i="11"/>
  <c r="L124" i="11"/>
  <c r="B141" i="11"/>
  <c r="C141" i="11"/>
  <c r="L147" i="11"/>
  <c r="M147" i="11"/>
  <c r="G164" i="11"/>
  <c r="E165" i="11"/>
  <c r="E166" i="11"/>
  <c r="F166" i="11"/>
  <c r="G138" i="11"/>
  <c r="E167" i="11"/>
  <c r="F167" i="11"/>
  <c r="G154" i="11"/>
  <c r="E168" i="11"/>
  <c r="L168" i="11"/>
  <c r="M168" i="11"/>
  <c r="B185" i="11"/>
  <c r="C185" i="11"/>
  <c r="D185" i="11"/>
  <c r="L191" i="11"/>
  <c r="M191" i="11"/>
  <c r="E209" i="11"/>
  <c r="L209" i="11"/>
  <c r="M209" i="11"/>
  <c r="E210" i="11"/>
  <c r="F210" i="11"/>
  <c r="G182" i="11"/>
  <c r="E211" i="11"/>
  <c r="E212" i="11"/>
  <c r="L212" i="11"/>
  <c r="M212" i="11"/>
  <c r="J12" i="7"/>
  <c r="E17" i="7"/>
  <c r="F17" i="7"/>
  <c r="G17" i="7"/>
  <c r="H17" i="7"/>
  <c r="I17" i="7"/>
  <c r="F18" i="7"/>
  <c r="G18" i="7"/>
  <c r="H18" i="7"/>
  <c r="I18" i="7"/>
  <c r="D5" i="8"/>
  <c r="D10" i="7"/>
  <c r="D7" i="8"/>
  <c r="C7" i="11"/>
  <c r="D9" i="8"/>
  <c r="C9" i="11"/>
  <c r="C12" i="8"/>
  <c r="D12" i="8"/>
  <c r="C11" i="11"/>
  <c r="C13" i="8"/>
  <c r="D17" i="8"/>
  <c r="D13" i="7"/>
  <c r="F17" i="8"/>
  <c r="D18" i="8"/>
  <c r="F18" i="8"/>
  <c r="B17" i="11"/>
  <c r="H18" i="8"/>
  <c r="F14" i="7"/>
  <c r="B61" i="11"/>
  <c r="C105" i="11"/>
  <c r="J18" i="8"/>
  <c r="L18" i="8"/>
  <c r="B149" i="11"/>
  <c r="N18" i="8"/>
  <c r="B193" i="11"/>
  <c r="D19" i="8"/>
  <c r="D16" i="8"/>
  <c r="D20" i="8"/>
  <c r="D21" i="8"/>
  <c r="C20" i="11"/>
  <c r="D22" i="8"/>
  <c r="F22" i="8"/>
  <c r="B21" i="11"/>
  <c r="H22" i="8"/>
  <c r="F16" i="7"/>
  <c r="J22" i="8"/>
  <c r="B109" i="11"/>
  <c r="L22" i="8"/>
  <c r="H16" i="7"/>
  <c r="B153" i="11"/>
  <c r="C197" i="11"/>
  <c r="N22" i="8"/>
  <c r="B197" i="11"/>
  <c r="D23" i="8"/>
  <c r="D25" i="8"/>
  <c r="C23" i="11"/>
  <c r="D26" i="8"/>
  <c r="D28" i="8"/>
  <c r="D20" i="7"/>
  <c r="J20" i="7"/>
  <c r="C29" i="8"/>
  <c r="A26" i="11"/>
  <c r="A70" i="11"/>
  <c r="A114" i="11"/>
  <c r="A158" i="11"/>
  <c r="A202" i="11"/>
  <c r="D29" i="8"/>
  <c r="C26" i="11"/>
  <c r="C30" i="8"/>
  <c r="A27" i="11"/>
  <c r="D30" i="8"/>
  <c r="C27" i="11"/>
  <c r="D31" i="8"/>
  <c r="C28" i="11"/>
  <c r="C32" i="8"/>
  <c r="A29" i="11"/>
  <c r="A73" i="11"/>
  <c r="A117" i="11"/>
  <c r="A161" i="11"/>
  <c r="A205" i="11"/>
  <c r="D32" i="8"/>
  <c r="C29" i="11"/>
  <c r="C33" i="8"/>
  <c r="A30" i="11"/>
  <c r="A74" i="11"/>
  <c r="A118" i="11"/>
  <c r="A162" i="11"/>
  <c r="A206" i="11"/>
  <c r="D33" i="8"/>
  <c r="C30" i="11"/>
  <c r="I6" i="6"/>
  <c r="L6" i="6"/>
  <c r="I7" i="6"/>
  <c r="L7" i="6"/>
  <c r="O7" i="6"/>
  <c r="I8" i="6"/>
  <c r="L8" i="6"/>
  <c r="O8" i="6"/>
  <c r="P21" i="6"/>
  <c r="I9" i="6"/>
  <c r="L9" i="6"/>
  <c r="I10" i="6"/>
  <c r="L10" i="6"/>
  <c r="I11" i="6"/>
  <c r="L11" i="6"/>
  <c r="I12" i="6"/>
  <c r="L12" i="6"/>
  <c r="G13" i="6"/>
  <c r="H13" i="6"/>
  <c r="J13" i="6"/>
  <c r="K13" i="6"/>
  <c r="M13" i="6"/>
  <c r="G14" i="6"/>
  <c r="H14" i="6"/>
  <c r="G15" i="6"/>
  <c r="H15" i="6"/>
  <c r="D19" i="6"/>
  <c r="E19" i="6"/>
  <c r="G19" i="6"/>
  <c r="B23" i="18"/>
  <c r="J19" i="6"/>
  <c r="C23" i="18"/>
  <c r="D20" i="6"/>
  <c r="E20" i="6"/>
  <c r="G20" i="6"/>
  <c r="B24" i="18"/>
  <c r="J20" i="6"/>
  <c r="C24" i="18"/>
  <c r="M20" i="6"/>
  <c r="D24" i="18"/>
  <c r="D21" i="6"/>
  <c r="G21" i="6"/>
  <c r="J21" i="6"/>
  <c r="M21" i="6"/>
  <c r="D22" i="6"/>
  <c r="G22" i="6"/>
  <c r="J22" i="6"/>
  <c r="D23" i="6"/>
  <c r="G23" i="6"/>
  <c r="B25" i="18"/>
  <c r="J23" i="6"/>
  <c r="C25" i="18"/>
  <c r="D24" i="6"/>
  <c r="D28" i="6"/>
  <c r="G24" i="6"/>
  <c r="B26" i="18"/>
  <c r="J24" i="6"/>
  <c r="C26" i="18"/>
  <c r="D25" i="6"/>
  <c r="D26" i="6"/>
  <c r="H26" i="6"/>
  <c r="B13" i="11"/>
  <c r="C57" i="11"/>
  <c r="K26" i="6"/>
  <c r="B57" i="11"/>
  <c r="D57" i="11"/>
  <c r="H27" i="6"/>
  <c r="D31" i="6"/>
  <c r="G31" i="6"/>
  <c r="B27" i="18"/>
  <c r="J31" i="6"/>
  <c r="C27" i="18"/>
  <c r="D32" i="6"/>
  <c r="J32" i="6"/>
  <c r="M32" i="6"/>
  <c r="P32" i="6"/>
  <c r="S32" i="6"/>
  <c r="D33" i="6"/>
  <c r="D34" i="6"/>
  <c r="C35" i="6"/>
  <c r="D35" i="6"/>
  <c r="J35" i="6"/>
  <c r="M35" i="6"/>
  <c r="P35" i="6"/>
  <c r="S35" i="6"/>
  <c r="D36" i="6"/>
  <c r="J36" i="6"/>
  <c r="M36" i="6"/>
  <c r="P36" i="6"/>
  <c r="S36" i="6"/>
  <c r="D37" i="6"/>
  <c r="H37" i="6"/>
  <c r="F33" i="8"/>
  <c r="B30" i="11"/>
  <c r="C23" i="5"/>
  <c r="F23" i="5"/>
  <c r="I23" i="5"/>
  <c r="L23" i="5"/>
  <c r="O23" i="5"/>
  <c r="C25" i="5"/>
  <c r="F25" i="5"/>
  <c r="I25" i="5"/>
  <c r="L25" i="5"/>
  <c r="O25" i="5"/>
  <c r="D7" i="14"/>
  <c r="E7" i="14"/>
  <c r="F7" i="14"/>
  <c r="G7" i="14"/>
  <c r="I7" i="14"/>
  <c r="D8" i="14"/>
  <c r="F8" i="14"/>
  <c r="E8" i="14"/>
  <c r="G8" i="14"/>
  <c r="D9" i="14"/>
  <c r="F9" i="14"/>
  <c r="E9" i="14"/>
  <c r="G9" i="14"/>
  <c r="I9" i="14"/>
  <c r="D10" i="14"/>
  <c r="E10" i="14"/>
  <c r="G10" i="14"/>
  <c r="I10" i="14"/>
  <c r="F10" i="14"/>
  <c r="D11" i="14"/>
  <c r="E11" i="14"/>
  <c r="F11" i="14"/>
  <c r="H11" i="14"/>
  <c r="J11" i="14"/>
  <c r="G11" i="14"/>
  <c r="I11" i="14"/>
  <c r="D12" i="14"/>
  <c r="F12" i="14"/>
  <c r="H12" i="14"/>
  <c r="E12" i="14"/>
  <c r="G12" i="14"/>
  <c r="I12" i="14"/>
  <c r="D13" i="14"/>
  <c r="F13" i="14"/>
  <c r="E13" i="14"/>
  <c r="G13" i="14"/>
  <c r="I13" i="14"/>
  <c r="D14" i="14"/>
  <c r="E14" i="14"/>
  <c r="B15" i="14"/>
  <c r="B5" i="14"/>
  <c r="D15" i="14"/>
  <c r="F15" i="14"/>
  <c r="H15" i="14"/>
  <c r="J15" i="14"/>
  <c r="D16" i="14"/>
  <c r="F16" i="14"/>
  <c r="H16" i="14"/>
  <c r="J16" i="14"/>
  <c r="E16" i="14"/>
  <c r="G16" i="14"/>
  <c r="I16" i="14"/>
  <c r="A62" i="14"/>
  <c r="D5" i="15"/>
  <c r="E5" i="15"/>
  <c r="H5" i="15"/>
  <c r="J5" i="15"/>
  <c r="Q5" i="15"/>
  <c r="K5" i="15"/>
  <c r="P5" i="15"/>
  <c r="R5" i="15"/>
  <c r="Y5" i="15"/>
  <c r="AF5" i="15"/>
  <c r="D6" i="15"/>
  <c r="E6" i="15"/>
  <c r="H6" i="15"/>
  <c r="J6" i="15"/>
  <c r="K6" i="15"/>
  <c r="O6" i="15"/>
  <c r="P6" i="15"/>
  <c r="R6" i="15"/>
  <c r="Y6" i="15"/>
  <c r="AF6" i="15"/>
  <c r="V6" i="15"/>
  <c r="W6" i="15"/>
  <c r="AD6" i="15"/>
  <c r="D7" i="15"/>
  <c r="E7" i="15"/>
  <c r="H7" i="15"/>
  <c r="J7" i="15"/>
  <c r="K7" i="15"/>
  <c r="O7" i="15"/>
  <c r="P7" i="15"/>
  <c r="Q7" i="15"/>
  <c r="X7" i="15"/>
  <c r="W7" i="15"/>
  <c r="AD7" i="15"/>
  <c r="D8" i="15"/>
  <c r="H8" i="15"/>
  <c r="J8" i="15"/>
  <c r="P8" i="15"/>
  <c r="W8" i="15"/>
  <c r="AD8" i="15"/>
  <c r="Q8" i="15"/>
  <c r="D9" i="15"/>
  <c r="K9" i="15"/>
  <c r="H9" i="15"/>
  <c r="J9" i="15"/>
  <c r="L9" i="15"/>
  <c r="M9" i="15"/>
  <c r="P9" i="15"/>
  <c r="W9" i="15"/>
  <c r="R9" i="15"/>
  <c r="Y9" i="15"/>
  <c r="AF9" i="15"/>
  <c r="AD9" i="15"/>
  <c r="D10" i="15"/>
  <c r="K10" i="15"/>
  <c r="E10" i="15"/>
  <c r="H10" i="15"/>
  <c r="J10" i="15"/>
  <c r="P10" i="15"/>
  <c r="R10" i="15"/>
  <c r="W10" i="15"/>
  <c r="Y10" i="15"/>
  <c r="AF10" i="15"/>
  <c r="AD10" i="15"/>
  <c r="D11" i="15"/>
  <c r="E11" i="15"/>
  <c r="H11" i="15"/>
  <c r="J11" i="15"/>
  <c r="K11" i="15"/>
  <c r="R11" i="15"/>
  <c r="Y11" i="15"/>
  <c r="AF11" i="15"/>
  <c r="O11" i="15"/>
  <c r="P11" i="15"/>
  <c r="V11" i="15"/>
  <c r="W11" i="15"/>
  <c r="AD11" i="15"/>
  <c r="D12" i="15"/>
  <c r="E12" i="15"/>
  <c r="H12" i="15"/>
  <c r="J12" i="15"/>
  <c r="K12" i="15"/>
  <c r="R12" i="15"/>
  <c r="Y12" i="15"/>
  <c r="AF12" i="15"/>
  <c r="L12" i="15"/>
  <c r="M12" i="15"/>
  <c r="O12" i="15"/>
  <c r="P12" i="15"/>
  <c r="Q12" i="15"/>
  <c r="S12" i="15"/>
  <c r="T12" i="15"/>
  <c r="B13" i="15"/>
  <c r="A4" i="4"/>
  <c r="A55" i="4"/>
  <c r="C5" i="4"/>
  <c r="D5" i="4"/>
  <c r="F5" i="4"/>
  <c r="J5" i="4"/>
  <c r="I5" i="4"/>
  <c r="M5" i="4"/>
  <c r="Q5" i="4"/>
  <c r="C6" i="4"/>
  <c r="D6" i="4"/>
  <c r="F6" i="4"/>
  <c r="I6" i="4"/>
  <c r="M6" i="4"/>
  <c r="Q6" i="4"/>
  <c r="C7" i="4"/>
  <c r="D7" i="4"/>
  <c r="F7" i="4"/>
  <c r="J7" i="4"/>
  <c r="I7" i="4"/>
  <c r="M7" i="4"/>
  <c r="Q7" i="4"/>
  <c r="C8" i="4"/>
  <c r="D8" i="4"/>
  <c r="F8" i="4"/>
  <c r="J8" i="4"/>
  <c r="I8" i="4"/>
  <c r="M8" i="4"/>
  <c r="Q8" i="4"/>
  <c r="N8" i="4"/>
  <c r="C9" i="4"/>
  <c r="D9" i="4"/>
  <c r="F9" i="4"/>
  <c r="I9" i="4"/>
  <c r="J9" i="4"/>
  <c r="N9" i="4"/>
  <c r="R9" i="4"/>
  <c r="M9" i="4"/>
  <c r="Q9" i="4"/>
  <c r="C10" i="4"/>
  <c r="D10" i="4"/>
  <c r="F10" i="4"/>
  <c r="I10" i="4"/>
  <c r="M10" i="4"/>
  <c r="Q10" i="4"/>
  <c r="C11" i="4"/>
  <c r="D11" i="4"/>
  <c r="F11" i="4"/>
  <c r="J11" i="4"/>
  <c r="I11" i="4"/>
  <c r="M11" i="4"/>
  <c r="Q11" i="4"/>
  <c r="N11" i="4"/>
  <c r="R11" i="4"/>
  <c r="C12" i="4"/>
  <c r="D12" i="4"/>
  <c r="B105" i="4"/>
  <c r="F12" i="4"/>
  <c r="I12" i="4"/>
  <c r="J12" i="4"/>
  <c r="N12" i="4"/>
  <c r="R12" i="4"/>
  <c r="M12" i="4"/>
  <c r="Q12" i="4"/>
  <c r="B13" i="4"/>
  <c r="A14" i="4"/>
  <c r="A15" i="4"/>
  <c r="C15" i="4"/>
  <c r="D15" i="4"/>
  <c r="F15" i="4"/>
  <c r="I15" i="4"/>
  <c r="J15" i="4"/>
  <c r="M15" i="4"/>
  <c r="Q15" i="4"/>
  <c r="A16" i="4"/>
  <c r="A26" i="4"/>
  <c r="A36" i="4"/>
  <c r="A46" i="4"/>
  <c r="C16" i="4"/>
  <c r="D16" i="4"/>
  <c r="F16" i="4"/>
  <c r="J16" i="4"/>
  <c r="N16" i="4"/>
  <c r="R16" i="4"/>
  <c r="I16" i="4"/>
  <c r="M16" i="4"/>
  <c r="Q16" i="4"/>
  <c r="A17" i="4"/>
  <c r="C17" i="4"/>
  <c r="D17" i="4"/>
  <c r="F17" i="4"/>
  <c r="I17" i="4"/>
  <c r="J17" i="4"/>
  <c r="M17" i="4"/>
  <c r="Q17" i="4"/>
  <c r="A18" i="4"/>
  <c r="A28" i="4"/>
  <c r="A38" i="4"/>
  <c r="A48" i="4"/>
  <c r="C18" i="4"/>
  <c r="D18" i="4"/>
  <c r="F18" i="4"/>
  <c r="I18" i="4"/>
  <c r="M18" i="4"/>
  <c r="Q18" i="4"/>
  <c r="A19" i="4"/>
  <c r="C19" i="4"/>
  <c r="D19" i="4"/>
  <c r="B108" i="4"/>
  <c r="F19" i="4"/>
  <c r="I19" i="4"/>
  <c r="A20" i="4"/>
  <c r="A30" i="4"/>
  <c r="A40" i="4"/>
  <c r="A50" i="4"/>
  <c r="C20" i="4"/>
  <c r="D20" i="4"/>
  <c r="F20" i="4"/>
  <c r="I20" i="4"/>
  <c r="J20" i="4"/>
  <c r="M20" i="4"/>
  <c r="Q20" i="4"/>
  <c r="A21" i="4"/>
  <c r="C21" i="4"/>
  <c r="D21" i="4"/>
  <c r="F21" i="4"/>
  <c r="J21" i="4"/>
  <c r="A22" i="4"/>
  <c r="C22" i="4"/>
  <c r="D22" i="4"/>
  <c r="F22" i="4"/>
  <c r="A24" i="4"/>
  <c r="A25" i="4"/>
  <c r="C25" i="4"/>
  <c r="D25" i="4"/>
  <c r="F25" i="4"/>
  <c r="I25" i="4"/>
  <c r="J25" i="4"/>
  <c r="N25" i="4"/>
  <c r="R25" i="4"/>
  <c r="M25" i="4"/>
  <c r="Q25" i="4"/>
  <c r="C26" i="4"/>
  <c r="D26" i="4"/>
  <c r="F26" i="4"/>
  <c r="I26" i="4"/>
  <c r="M26" i="4"/>
  <c r="Q26" i="4"/>
  <c r="A27" i="4"/>
  <c r="C27" i="4"/>
  <c r="D27" i="4"/>
  <c r="F27" i="4"/>
  <c r="I27" i="4"/>
  <c r="J27" i="4"/>
  <c r="N27" i="4"/>
  <c r="R27" i="4"/>
  <c r="M27" i="4"/>
  <c r="Q27" i="4"/>
  <c r="C28" i="4"/>
  <c r="D28" i="4"/>
  <c r="F28" i="4"/>
  <c r="I28" i="4"/>
  <c r="J28" i="4"/>
  <c r="M28" i="4"/>
  <c r="Q28" i="4"/>
  <c r="A29" i="4"/>
  <c r="A39" i="4"/>
  <c r="A49" i="4"/>
  <c r="C29" i="4"/>
  <c r="D29" i="4"/>
  <c r="F29" i="4"/>
  <c r="I29" i="4"/>
  <c r="J29" i="4"/>
  <c r="M29" i="4"/>
  <c r="N29" i="4"/>
  <c r="Q29" i="4"/>
  <c r="R29" i="4"/>
  <c r="C30" i="4"/>
  <c r="D30" i="4"/>
  <c r="F30" i="4"/>
  <c r="I30" i="4"/>
  <c r="M30" i="4"/>
  <c r="Q30" i="4"/>
  <c r="A31" i="4"/>
  <c r="C31" i="4"/>
  <c r="D31" i="4"/>
  <c r="B113" i="4"/>
  <c r="F31" i="4"/>
  <c r="J31" i="4"/>
  <c r="N31" i="4"/>
  <c r="A32" i="4"/>
  <c r="C32" i="4"/>
  <c r="D32" i="4"/>
  <c r="F32" i="4"/>
  <c r="J32" i="4"/>
  <c r="B33" i="4"/>
  <c r="A34" i="4"/>
  <c r="A35" i="4"/>
  <c r="A45" i="4"/>
  <c r="C35" i="4"/>
  <c r="D35" i="4"/>
  <c r="F35" i="4"/>
  <c r="I35" i="4"/>
  <c r="M35" i="4"/>
  <c r="Q35" i="4"/>
  <c r="C36" i="4"/>
  <c r="D36" i="4"/>
  <c r="F36" i="4"/>
  <c r="I36" i="4"/>
  <c r="J36" i="4"/>
  <c r="M36" i="4"/>
  <c r="Q36" i="4"/>
  <c r="A37" i="4"/>
  <c r="A47" i="4"/>
  <c r="C37" i="4"/>
  <c r="D37" i="4"/>
  <c r="F37" i="4"/>
  <c r="J37" i="4"/>
  <c r="N37" i="4"/>
  <c r="I37" i="4"/>
  <c r="M37" i="4"/>
  <c r="Q37" i="4"/>
  <c r="C38" i="4"/>
  <c r="D38" i="4"/>
  <c r="F38" i="4"/>
  <c r="I38" i="4"/>
  <c r="J38" i="4"/>
  <c r="M38" i="4"/>
  <c r="Q38" i="4"/>
  <c r="C39" i="4"/>
  <c r="D39" i="4"/>
  <c r="B116" i="4"/>
  <c r="F39" i="4"/>
  <c r="J39" i="4"/>
  <c r="N39" i="4"/>
  <c r="R39" i="4"/>
  <c r="I39" i="4"/>
  <c r="M39" i="4"/>
  <c r="Q39" i="4"/>
  <c r="C40" i="4"/>
  <c r="D40" i="4"/>
  <c r="F40" i="4"/>
  <c r="I40" i="4"/>
  <c r="J40" i="4"/>
  <c r="M40" i="4"/>
  <c r="Q40" i="4"/>
  <c r="A41" i="4"/>
  <c r="A51" i="4"/>
  <c r="C41" i="4"/>
  <c r="D41" i="4"/>
  <c r="F41" i="4"/>
  <c r="A42" i="4"/>
  <c r="A52" i="4"/>
  <c r="C42" i="4"/>
  <c r="D42" i="4"/>
  <c r="F42" i="4"/>
  <c r="J42" i="4"/>
  <c r="N42" i="4"/>
  <c r="R42" i="4"/>
  <c r="B43" i="4"/>
  <c r="F43" i="4"/>
  <c r="A44" i="4"/>
  <c r="A67" i="4"/>
  <c r="C45" i="4"/>
  <c r="D45" i="4"/>
  <c r="F45" i="4"/>
  <c r="I45" i="4"/>
  <c r="C46" i="4"/>
  <c r="D46" i="4"/>
  <c r="F46" i="4"/>
  <c r="I46" i="4"/>
  <c r="J46" i="4"/>
  <c r="N46" i="4"/>
  <c r="R46" i="4"/>
  <c r="M46" i="4"/>
  <c r="Q46" i="4"/>
  <c r="C47" i="4"/>
  <c r="D47" i="4"/>
  <c r="F47" i="4"/>
  <c r="I47" i="4"/>
  <c r="M47" i="4"/>
  <c r="Q47" i="4"/>
  <c r="C48" i="4"/>
  <c r="D48" i="4"/>
  <c r="F48" i="4"/>
  <c r="I48" i="4"/>
  <c r="J48" i="4"/>
  <c r="M48" i="4"/>
  <c r="N48" i="4"/>
  <c r="Q48" i="4"/>
  <c r="R48" i="4"/>
  <c r="C49" i="4"/>
  <c r="D49" i="4"/>
  <c r="F49" i="4"/>
  <c r="I49" i="4"/>
  <c r="M49" i="4"/>
  <c r="Q49" i="4"/>
  <c r="J49" i="4"/>
  <c r="C50" i="4"/>
  <c r="D50" i="4"/>
  <c r="F50" i="4"/>
  <c r="I50" i="4"/>
  <c r="J50" i="4"/>
  <c r="N50" i="4"/>
  <c r="R50" i="4"/>
  <c r="M50" i="4"/>
  <c r="Q50" i="4"/>
  <c r="C51" i="4"/>
  <c r="D51" i="4"/>
  <c r="F51" i="4"/>
  <c r="C52" i="4"/>
  <c r="D52" i="4"/>
  <c r="B121" i="4"/>
  <c r="F52" i="4"/>
  <c r="B53" i="4"/>
  <c r="D56" i="4"/>
  <c r="E56" i="4"/>
  <c r="F56" i="4"/>
  <c r="G56" i="4"/>
  <c r="H56" i="4"/>
  <c r="A58" i="4"/>
  <c r="D59" i="4"/>
  <c r="E59" i="4"/>
  <c r="F59" i="4"/>
  <c r="G59" i="4"/>
  <c r="H59" i="4"/>
  <c r="A61" i="4"/>
  <c r="A30" i="14"/>
  <c r="D62" i="4"/>
  <c r="E62" i="4"/>
  <c r="F62" i="4"/>
  <c r="G62" i="4"/>
  <c r="H62" i="4"/>
  <c r="A64" i="4"/>
  <c r="A31" i="14"/>
  <c r="A96" i="4"/>
  <c r="D65" i="4"/>
  <c r="E65" i="4"/>
  <c r="F65" i="4"/>
  <c r="G65" i="4"/>
  <c r="H65" i="4"/>
  <c r="D68" i="4"/>
  <c r="E68" i="4"/>
  <c r="F68" i="4"/>
  <c r="G68" i="4"/>
  <c r="H68" i="4"/>
  <c r="A95" i="4"/>
  <c r="A111" i="4"/>
  <c r="A115" i="4"/>
  <c r="B117" i="4"/>
  <c r="B120" i="4"/>
  <c r="F5" i="3"/>
  <c r="G5" i="4"/>
  <c r="H5" i="4"/>
  <c r="H5" i="3"/>
  <c r="I5" i="3"/>
  <c r="K5" i="3"/>
  <c r="O5" i="3"/>
  <c r="S5" i="3"/>
  <c r="C6" i="3"/>
  <c r="D6" i="3"/>
  <c r="F7" i="3"/>
  <c r="G16" i="4"/>
  <c r="H7" i="3"/>
  <c r="I7" i="3"/>
  <c r="K7" i="3"/>
  <c r="M7" i="3"/>
  <c r="Q7" i="3"/>
  <c r="C8" i="3"/>
  <c r="D8" i="3"/>
  <c r="H8" i="3"/>
  <c r="F9" i="3"/>
  <c r="G29" i="4"/>
  <c r="H29" i="4"/>
  <c r="G27" i="4"/>
  <c r="H27" i="4"/>
  <c r="H9" i="3"/>
  <c r="L9" i="3"/>
  <c r="I9" i="3"/>
  <c r="K9" i="3"/>
  <c r="M9" i="3"/>
  <c r="Q9" i="3"/>
  <c r="C10" i="3"/>
  <c r="D10" i="3"/>
  <c r="H10" i="3"/>
  <c r="F11" i="3"/>
  <c r="G35" i="4"/>
  <c r="H11" i="3"/>
  <c r="I11" i="3"/>
  <c r="J11" i="3"/>
  <c r="K11" i="3"/>
  <c r="L11" i="3"/>
  <c r="M11" i="3"/>
  <c r="O11" i="3"/>
  <c r="S11" i="3"/>
  <c r="Q11" i="3"/>
  <c r="C12" i="3"/>
  <c r="D12" i="3"/>
  <c r="H12" i="3"/>
  <c r="F13" i="3"/>
  <c r="H13" i="3"/>
  <c r="I13" i="3"/>
  <c r="M13" i="3"/>
  <c r="Q13" i="3"/>
  <c r="K13" i="3"/>
  <c r="L13" i="3"/>
  <c r="O13" i="3"/>
  <c r="S13" i="3"/>
  <c r="C14" i="3"/>
  <c r="D14" i="3"/>
  <c r="B23" i="4"/>
  <c r="H14" i="3"/>
  <c r="A17" i="3"/>
  <c r="A25" i="3"/>
  <c r="C17" i="3"/>
  <c r="D17" i="3"/>
  <c r="A18" i="3"/>
  <c r="A26" i="3"/>
  <c r="C18" i="3"/>
  <c r="A19" i="3"/>
  <c r="C19" i="3"/>
  <c r="D19" i="3"/>
  <c r="D27" i="3"/>
  <c r="C62" i="3"/>
  <c r="A20" i="3"/>
  <c r="A28" i="3"/>
  <c r="C20" i="3"/>
  <c r="C28" i="3"/>
  <c r="B63" i="3"/>
  <c r="A21" i="3"/>
  <c r="C21" i="3"/>
  <c r="D21" i="3"/>
  <c r="D29" i="3"/>
  <c r="C64" i="3"/>
  <c r="C25" i="3"/>
  <c r="D25" i="3"/>
  <c r="C60" i="3"/>
  <c r="C65" i="3"/>
  <c r="I48" i="6"/>
  <c r="A27" i="3"/>
  <c r="C27" i="3"/>
  <c r="B62" i="3"/>
  <c r="A29" i="3"/>
  <c r="C29" i="3"/>
  <c r="B64" i="3"/>
  <c r="A60" i="3"/>
  <c r="A61" i="3"/>
  <c r="A62" i="3"/>
  <c r="A63" i="3"/>
  <c r="A64" i="3"/>
  <c r="B5" i="2"/>
  <c r="B6" i="2"/>
  <c r="B7" i="2"/>
  <c r="B8" i="2"/>
  <c r="B9" i="2"/>
  <c r="B10" i="2"/>
  <c r="B11" i="2"/>
  <c r="B12" i="2"/>
  <c r="B13" i="2"/>
  <c r="B31" i="2"/>
  <c r="D31" i="2"/>
  <c r="F28" i="8"/>
  <c r="B25" i="11"/>
  <c r="E31" i="2"/>
  <c r="B68" i="2"/>
  <c r="C68" i="2"/>
  <c r="B159" i="2"/>
  <c r="E10" i="19"/>
  <c r="I68" i="2"/>
  <c r="J68" i="2"/>
  <c r="B69" i="2"/>
  <c r="I69" i="2"/>
  <c r="B70" i="2"/>
  <c r="I70" i="2"/>
  <c r="B71" i="2"/>
  <c r="I71" i="2"/>
  <c r="B73" i="2"/>
  <c r="I73" i="2"/>
  <c r="B74" i="2"/>
  <c r="I74" i="2"/>
  <c r="B75" i="2"/>
  <c r="I75" i="2"/>
  <c r="B76" i="2"/>
  <c r="I76" i="2"/>
  <c r="B78" i="2"/>
  <c r="I78" i="2"/>
  <c r="B79" i="2"/>
  <c r="I79" i="2"/>
  <c r="B80" i="2"/>
  <c r="I80" i="2"/>
  <c r="B81" i="2"/>
  <c r="I81" i="2"/>
  <c r="B82" i="2"/>
  <c r="B83" i="2"/>
  <c r="I83" i="2"/>
  <c r="B84" i="2"/>
  <c r="I84" i="2"/>
  <c r="B85" i="2"/>
  <c r="I85" i="2"/>
  <c r="B86" i="2"/>
  <c r="I86" i="2"/>
  <c r="B88" i="2"/>
  <c r="I88" i="2"/>
  <c r="B89" i="2"/>
  <c r="I89" i="2"/>
  <c r="B90" i="2"/>
  <c r="I90" i="2"/>
  <c r="B91" i="2"/>
  <c r="I91" i="2"/>
  <c r="B92" i="2"/>
  <c r="B96" i="2"/>
  <c r="C96" i="2"/>
  <c r="I96" i="2"/>
  <c r="J96" i="2"/>
  <c r="B97" i="2"/>
  <c r="I97" i="2"/>
  <c r="B98" i="2"/>
  <c r="I98" i="2"/>
  <c r="B99" i="2"/>
  <c r="I99" i="2"/>
  <c r="B100" i="2"/>
  <c r="B101" i="2"/>
  <c r="I101" i="2"/>
  <c r="B102" i="2"/>
  <c r="I102" i="2"/>
  <c r="B103" i="2"/>
  <c r="I103" i="2"/>
  <c r="I105" i="2"/>
  <c r="B104" i="2"/>
  <c r="I104" i="2"/>
  <c r="B106" i="2"/>
  <c r="I106" i="2"/>
  <c r="B107" i="2"/>
  <c r="I107" i="2"/>
  <c r="B108" i="2"/>
  <c r="I108" i="2"/>
  <c r="B109" i="2"/>
  <c r="I109" i="2"/>
  <c r="B110" i="2"/>
  <c r="B111" i="2"/>
  <c r="I111" i="2"/>
  <c r="B112" i="2"/>
  <c r="I112" i="2"/>
  <c r="B113" i="2"/>
  <c r="I113" i="2"/>
  <c r="B114" i="2"/>
  <c r="I114" i="2"/>
  <c r="B119" i="2"/>
  <c r="C119" i="2"/>
  <c r="D119" i="2"/>
  <c r="F119" i="2"/>
  <c r="E119" i="2"/>
  <c r="I119" i="2"/>
  <c r="J119" i="2"/>
  <c r="B120" i="2"/>
  <c r="C120" i="2"/>
  <c r="I120" i="2"/>
  <c r="B121" i="2"/>
  <c r="I121" i="2"/>
  <c r="B122" i="2"/>
  <c r="I122" i="2"/>
  <c r="I123" i="2"/>
  <c r="B124" i="2"/>
  <c r="I124" i="2"/>
  <c r="B125" i="2"/>
  <c r="I125" i="2"/>
  <c r="B126" i="2"/>
  <c r="I126" i="2"/>
  <c r="B127" i="2"/>
  <c r="I127" i="2"/>
  <c r="B129" i="2"/>
  <c r="I129" i="2"/>
  <c r="B130" i="2"/>
  <c r="I130" i="2"/>
  <c r="B131" i="2"/>
  <c r="I131" i="2"/>
  <c r="B132" i="2"/>
  <c r="I132" i="2"/>
  <c r="B137" i="2"/>
  <c r="C137" i="2"/>
  <c r="D137" i="2"/>
  <c r="I137" i="2"/>
  <c r="J137" i="2"/>
  <c r="K137" i="2"/>
  <c r="B138" i="2"/>
  <c r="I138" i="2"/>
  <c r="B139" i="2"/>
  <c r="I139" i="2"/>
  <c r="B140" i="2"/>
  <c r="I140" i="2"/>
  <c r="I141" i="2"/>
  <c r="B142" i="2"/>
  <c r="I142" i="2"/>
  <c r="B143" i="2"/>
  <c r="I143" i="2"/>
  <c r="B144" i="2"/>
  <c r="I144" i="2"/>
  <c r="B145" i="2"/>
  <c r="I145" i="2"/>
  <c r="B150" i="2"/>
  <c r="C150" i="2"/>
  <c r="I150" i="2"/>
  <c r="J150" i="2"/>
  <c r="B151" i="2"/>
  <c r="I151" i="2"/>
  <c r="B152" i="2"/>
  <c r="I152" i="2"/>
  <c r="B153" i="2"/>
  <c r="I153" i="2"/>
  <c r="G6" i="1"/>
  <c r="E7" i="1"/>
  <c r="J7" i="1"/>
  <c r="S7" i="1"/>
  <c r="E8" i="1"/>
  <c r="I8" i="1"/>
  <c r="J14" i="24"/>
  <c r="J8" i="1"/>
  <c r="L8" i="1"/>
  <c r="L6" i="1"/>
  <c r="O8" i="1"/>
  <c r="R8" i="1"/>
  <c r="R6" i="1"/>
  <c r="U8" i="1"/>
  <c r="V14" i="24"/>
  <c r="E9" i="1"/>
  <c r="J9" i="1"/>
  <c r="K15" i="24"/>
  <c r="M9" i="1"/>
  <c r="G10" i="1"/>
  <c r="E11" i="1"/>
  <c r="E12" i="1"/>
  <c r="J12" i="1"/>
  <c r="K18" i="24"/>
  <c r="M12" i="1"/>
  <c r="E13" i="1"/>
  <c r="J13" i="1"/>
  <c r="E14" i="1"/>
  <c r="J14" i="1"/>
  <c r="E15" i="1"/>
  <c r="J15" i="1"/>
  <c r="M15" i="1"/>
  <c r="S15" i="1"/>
  <c r="E16" i="1"/>
  <c r="J16" i="1"/>
  <c r="M16" i="1"/>
  <c r="N22" i="24"/>
  <c r="P16" i="1"/>
  <c r="E17" i="1"/>
  <c r="J17" i="1"/>
  <c r="E18" i="1"/>
  <c r="I18" i="1"/>
  <c r="J18" i="1"/>
  <c r="K24" i="24"/>
  <c r="L18" i="1"/>
  <c r="M24" i="24"/>
  <c r="M18" i="1"/>
  <c r="O18" i="1"/>
  <c r="R18" i="1"/>
  <c r="R10" i="1"/>
  <c r="S16" i="24"/>
  <c r="S24" i="24"/>
  <c r="U18" i="1"/>
  <c r="E19" i="1"/>
  <c r="J19" i="1"/>
  <c r="G20" i="1"/>
  <c r="I20" i="1"/>
  <c r="J26" i="24"/>
  <c r="L20" i="1"/>
  <c r="M26" i="24"/>
  <c r="O20" i="1"/>
  <c r="P26" i="24"/>
  <c r="R20" i="1"/>
  <c r="S26" i="24"/>
  <c r="U20" i="1"/>
  <c r="V26" i="24"/>
  <c r="E21" i="1"/>
  <c r="E22" i="1"/>
  <c r="G23" i="1"/>
  <c r="D55" i="1"/>
  <c r="E55" i="1"/>
  <c r="F55" i="1"/>
  <c r="G55" i="1"/>
  <c r="H55" i="1"/>
  <c r="I55" i="1"/>
  <c r="J55" i="1"/>
  <c r="K55" i="1"/>
  <c r="D56" i="1"/>
  <c r="D69" i="1"/>
  <c r="D87" i="1"/>
  <c r="G56" i="1"/>
  <c r="H56" i="1"/>
  <c r="K56" i="1"/>
  <c r="D57" i="1"/>
  <c r="F57" i="1"/>
  <c r="G57" i="1"/>
  <c r="H57" i="1"/>
  <c r="I57" i="1"/>
  <c r="J57" i="1"/>
  <c r="K57" i="1"/>
  <c r="D58" i="1"/>
  <c r="D71" i="1"/>
  <c r="D101" i="1"/>
  <c r="F58" i="1"/>
  <c r="G58" i="1"/>
  <c r="H58" i="1"/>
  <c r="I58" i="1"/>
  <c r="J58" i="1"/>
  <c r="K58" i="1"/>
  <c r="D59" i="1"/>
  <c r="D72" i="1"/>
  <c r="D108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D74" i="1"/>
  <c r="D122" i="1"/>
  <c r="E61" i="1"/>
  <c r="F61" i="1"/>
  <c r="G61" i="1"/>
  <c r="H61" i="1"/>
  <c r="I61" i="1"/>
  <c r="J61" i="1"/>
  <c r="K61" i="1"/>
  <c r="D62" i="1"/>
  <c r="D75" i="1"/>
  <c r="D129" i="1"/>
  <c r="F62" i="1"/>
  <c r="G62" i="1"/>
  <c r="H62" i="1"/>
  <c r="I62" i="1"/>
  <c r="J62" i="1"/>
  <c r="K62" i="1"/>
  <c r="D63" i="1"/>
  <c r="F63" i="1"/>
  <c r="G63" i="1"/>
  <c r="H63" i="1"/>
  <c r="I63" i="1"/>
  <c r="J63" i="1"/>
  <c r="K63" i="1"/>
  <c r="D64" i="1"/>
  <c r="E64" i="1"/>
  <c r="H64" i="1"/>
  <c r="I64" i="1"/>
  <c r="J64" i="1"/>
  <c r="D65" i="1"/>
  <c r="E65" i="1"/>
  <c r="F65" i="1"/>
  <c r="G65" i="1"/>
  <c r="H65" i="1"/>
  <c r="I65" i="1"/>
  <c r="J65" i="1"/>
  <c r="K65" i="1"/>
  <c r="D68" i="1"/>
  <c r="E68" i="1"/>
  <c r="F68" i="1"/>
  <c r="I68" i="1"/>
  <c r="G84" i="1"/>
  <c r="E69" i="1"/>
  <c r="F69" i="1"/>
  <c r="D70" i="1"/>
  <c r="E70" i="1"/>
  <c r="F70" i="1"/>
  <c r="G70" i="1"/>
  <c r="H70" i="1"/>
  <c r="E71" i="1"/>
  <c r="F71" i="1"/>
  <c r="G71" i="1"/>
  <c r="H71" i="1"/>
  <c r="E72" i="1"/>
  <c r="F72" i="1"/>
  <c r="D73" i="1"/>
  <c r="D115" i="1"/>
  <c r="E73" i="1"/>
  <c r="F73" i="1"/>
  <c r="E74" i="1"/>
  <c r="F74" i="1"/>
  <c r="I74" i="1"/>
  <c r="J74" i="1"/>
  <c r="H127" i="1"/>
  <c r="E75" i="1"/>
  <c r="F75" i="1"/>
  <c r="H75" i="1"/>
  <c r="D76" i="1"/>
  <c r="D136" i="1"/>
  <c r="E76" i="1"/>
  <c r="F76" i="1"/>
  <c r="G76" i="1"/>
  <c r="D77" i="1"/>
  <c r="D143" i="1"/>
  <c r="E77" i="1"/>
  <c r="F77" i="1"/>
  <c r="G77" i="1"/>
  <c r="H77" i="1"/>
  <c r="D78" i="1"/>
  <c r="E78" i="1"/>
  <c r="F78" i="1"/>
  <c r="D80" i="1"/>
  <c r="G83" i="1"/>
  <c r="G85" i="1"/>
  <c r="D94" i="1"/>
  <c r="F97" i="1"/>
  <c r="F98" i="1"/>
  <c r="F99" i="1"/>
  <c r="F104" i="1"/>
  <c r="G125" i="1"/>
  <c r="G126" i="1"/>
  <c r="H126" i="1"/>
  <c r="G127" i="1"/>
  <c r="F132" i="1"/>
  <c r="D150" i="1"/>
  <c r="D3" i="21"/>
  <c r="I3" i="21"/>
  <c r="D4" i="21"/>
  <c r="D9" i="21"/>
  <c r="D6" i="8"/>
  <c r="I16" i="21"/>
  <c r="B30" i="2"/>
  <c r="D30" i="2"/>
  <c r="D21" i="21"/>
  <c r="D8" i="8"/>
  <c r="I25" i="21"/>
  <c r="I40" i="21"/>
  <c r="J21" i="21"/>
  <c r="D26" i="21"/>
  <c r="D11" i="8"/>
  <c r="J27" i="21"/>
  <c r="J31" i="21"/>
  <c r="E13" i="11"/>
  <c r="D13" i="11"/>
  <c r="M13" i="11"/>
  <c r="E57" i="11"/>
  <c r="C101" i="11"/>
  <c r="M19" i="6"/>
  <c r="D23" i="18"/>
  <c r="O6" i="6"/>
  <c r="L5" i="3"/>
  <c r="F20" i="6"/>
  <c r="H20" i="6"/>
  <c r="G7" i="6"/>
  <c r="G12" i="4"/>
  <c r="H12" i="4"/>
  <c r="G10" i="4"/>
  <c r="H10" i="4"/>
  <c r="G8" i="4"/>
  <c r="H8" i="4"/>
  <c r="G6" i="4"/>
  <c r="H6" i="4"/>
  <c r="G11" i="4"/>
  <c r="H11" i="4"/>
  <c r="G9" i="4"/>
  <c r="H9" i="4"/>
  <c r="C104" i="4"/>
  <c r="G7" i="4"/>
  <c r="H7" i="4"/>
  <c r="M57" i="11"/>
  <c r="L57" i="11"/>
  <c r="L13" i="11"/>
  <c r="L6" i="3"/>
  <c r="P5" i="3"/>
  <c r="T5" i="3"/>
  <c r="C44" i="19"/>
  <c r="E44" i="19"/>
  <c r="G39" i="24"/>
  <c r="G26" i="1"/>
  <c r="D4" i="8"/>
  <c r="G27" i="1"/>
  <c r="H12" i="24"/>
  <c r="B128" i="2"/>
  <c r="I115" i="2"/>
  <c r="I110" i="2"/>
  <c r="B72" i="2"/>
  <c r="J30" i="4"/>
  <c r="R6" i="6"/>
  <c r="S19" i="6"/>
  <c r="F23" i="18"/>
  <c r="P19" i="6"/>
  <c r="E23" i="18"/>
  <c r="J9" i="21"/>
  <c r="J11" i="21"/>
  <c r="J16" i="21"/>
  <c r="J18" i="21"/>
  <c r="J20" i="21"/>
  <c r="J40" i="21"/>
  <c r="J4" i="21"/>
  <c r="J28" i="21"/>
  <c r="J33" i="21"/>
  <c r="J36" i="21"/>
  <c r="J7" i="21"/>
  <c r="J12" i="21"/>
  <c r="J5" i="21"/>
  <c r="J10" i="21"/>
  <c r="J26" i="21"/>
  <c r="J29" i="21"/>
  <c r="J6" i="21"/>
  <c r="J30" i="21"/>
  <c r="J34" i="21"/>
  <c r="J19" i="21"/>
  <c r="J32" i="21"/>
  <c r="J35" i="21"/>
  <c r="J17" i="21"/>
  <c r="J8" i="21"/>
  <c r="F103" i="1"/>
  <c r="F106" i="1"/>
  <c r="F105" i="1"/>
  <c r="K19" i="24"/>
  <c r="G72" i="1"/>
  <c r="E111" i="1"/>
  <c r="M13" i="1"/>
  <c r="I92" i="2"/>
  <c r="T13" i="24"/>
  <c r="J68" i="1"/>
  <c r="V7" i="1"/>
  <c r="K150" i="2"/>
  <c r="I154" i="2"/>
  <c r="B146" i="2"/>
  <c r="F137" i="2"/>
  <c r="E137" i="2"/>
  <c r="N49" i="4"/>
  <c r="L10" i="15"/>
  <c r="M10" i="15"/>
  <c r="Q10" i="15"/>
  <c r="J24" i="24"/>
  <c r="I10" i="1"/>
  <c r="J16" i="24"/>
  <c r="G64" i="1"/>
  <c r="E147" i="1"/>
  <c r="N5" i="4"/>
  <c r="F6" i="8"/>
  <c r="F146" i="1"/>
  <c r="F147" i="1"/>
  <c r="F148" i="1"/>
  <c r="F96" i="1"/>
  <c r="K25" i="24"/>
  <c r="M19" i="1"/>
  <c r="G78" i="1"/>
  <c r="E154" i="1"/>
  <c r="B141" i="2"/>
  <c r="B147" i="2"/>
  <c r="D120" i="2"/>
  <c r="B123" i="2"/>
  <c r="I77" i="2"/>
  <c r="K36" i="4"/>
  <c r="L36" i="4"/>
  <c r="K38" i="4"/>
  <c r="L38" i="4"/>
  <c r="K40" i="4"/>
  <c r="L40" i="4"/>
  <c r="K42" i="4"/>
  <c r="E20" i="3"/>
  <c r="E28" i="3"/>
  <c r="D63" i="3"/>
  <c r="K35" i="4"/>
  <c r="K37" i="4"/>
  <c r="K39" i="4"/>
  <c r="L39" i="4"/>
  <c r="K41" i="4"/>
  <c r="N11" i="3"/>
  <c r="A107" i="4"/>
  <c r="A29" i="14"/>
  <c r="A94" i="4"/>
  <c r="R37" i="4"/>
  <c r="L37" i="4"/>
  <c r="R31" i="4"/>
  <c r="J15" i="6"/>
  <c r="K37" i="6"/>
  <c r="H33" i="8"/>
  <c r="B74" i="11"/>
  <c r="K15" i="6"/>
  <c r="E141" i="1"/>
  <c r="E139" i="1"/>
  <c r="N24" i="24"/>
  <c r="P18" i="1"/>
  <c r="F23" i="24"/>
  <c r="E50" i="24"/>
  <c r="E63" i="1"/>
  <c r="E137" i="1"/>
  <c r="J137" i="1"/>
  <c r="K17" i="1"/>
  <c r="L23" i="24"/>
  <c r="F19" i="24"/>
  <c r="E46" i="24"/>
  <c r="E59" i="1"/>
  <c r="E110" i="1"/>
  <c r="F15" i="24"/>
  <c r="E42" i="24"/>
  <c r="E57" i="1"/>
  <c r="E6" i="1"/>
  <c r="K14" i="24"/>
  <c r="M8" i="1"/>
  <c r="G69" i="1"/>
  <c r="K13" i="24"/>
  <c r="M7" i="1"/>
  <c r="G68" i="1"/>
  <c r="E84" i="1"/>
  <c r="I87" i="2"/>
  <c r="F13" i="4"/>
  <c r="J6" i="4"/>
  <c r="F145" i="1"/>
  <c r="E138" i="1"/>
  <c r="E148" i="1"/>
  <c r="F131" i="1"/>
  <c r="F133" i="1"/>
  <c r="F134" i="1"/>
  <c r="Q22" i="24"/>
  <c r="S16" i="1"/>
  <c r="I75" i="1"/>
  <c r="E49" i="24"/>
  <c r="F22" i="24"/>
  <c r="E62" i="1"/>
  <c r="N21" i="24"/>
  <c r="H74" i="1"/>
  <c r="F124" i="1"/>
  <c r="E45" i="24"/>
  <c r="F18" i="24"/>
  <c r="E58" i="1"/>
  <c r="E10" i="1"/>
  <c r="P14" i="24"/>
  <c r="O6" i="1"/>
  <c r="I56" i="1"/>
  <c r="B154" i="2"/>
  <c r="I133" i="2"/>
  <c r="E120" i="2"/>
  <c r="M45" i="4"/>
  <c r="Q45" i="4"/>
  <c r="J45" i="4"/>
  <c r="A32" i="14"/>
  <c r="A119" i="4"/>
  <c r="A97" i="4"/>
  <c r="I8" i="14"/>
  <c r="H8" i="14"/>
  <c r="J8" i="14"/>
  <c r="F28" i="24"/>
  <c r="E55" i="24"/>
  <c r="E20" i="1"/>
  <c r="P24" i="24"/>
  <c r="O10" i="1"/>
  <c r="P16" i="24"/>
  <c r="K20" i="24"/>
  <c r="M14" i="1"/>
  <c r="G73" i="1"/>
  <c r="I146" i="2"/>
  <c r="I147" i="2"/>
  <c r="B133" i="2"/>
  <c r="K119" i="2"/>
  <c r="B115" i="2"/>
  <c r="B87" i="2"/>
  <c r="H28" i="8"/>
  <c r="F31" i="2"/>
  <c r="L7" i="3"/>
  <c r="O7" i="3"/>
  <c r="S7" i="3"/>
  <c r="J22" i="4"/>
  <c r="J19" i="4"/>
  <c r="M19" i="4"/>
  <c r="Q19" i="4"/>
  <c r="J18" i="4"/>
  <c r="Q11" i="15"/>
  <c r="L11" i="15"/>
  <c r="M11" i="15"/>
  <c r="N11" i="15"/>
  <c r="X8" i="15"/>
  <c r="G14" i="14"/>
  <c r="I14" i="14"/>
  <c r="F14" i="14"/>
  <c r="H14" i="14"/>
  <c r="J14" i="14"/>
  <c r="E97" i="1"/>
  <c r="E98" i="1"/>
  <c r="F27" i="24"/>
  <c r="E54" i="24"/>
  <c r="V24" i="24"/>
  <c r="U10" i="1"/>
  <c r="V16" i="24"/>
  <c r="K64" i="1"/>
  <c r="F20" i="24"/>
  <c r="E47" i="24"/>
  <c r="N15" i="24"/>
  <c r="P9" i="1"/>
  <c r="C69" i="11"/>
  <c r="M5" i="3"/>
  <c r="Q5" i="3"/>
  <c r="J5" i="3"/>
  <c r="D53" i="4"/>
  <c r="D67" i="4"/>
  <c r="N32" i="4"/>
  <c r="F33" i="4"/>
  <c r="J26" i="4"/>
  <c r="N20" i="4"/>
  <c r="O9" i="15"/>
  <c r="N9" i="15"/>
  <c r="AE7" i="15"/>
  <c r="C193" i="11"/>
  <c r="D96" i="2"/>
  <c r="P13" i="3"/>
  <c r="L14" i="3"/>
  <c r="G45" i="4"/>
  <c r="G47" i="4"/>
  <c r="G49" i="4"/>
  <c r="G51" i="4"/>
  <c r="G48" i="4"/>
  <c r="H48" i="4"/>
  <c r="G52" i="4"/>
  <c r="H47" i="4"/>
  <c r="J47" i="4"/>
  <c r="G46" i="4"/>
  <c r="H46" i="4"/>
  <c r="L42" i="4"/>
  <c r="B109" i="4"/>
  <c r="O10" i="15"/>
  <c r="N10" i="15"/>
  <c r="Q6" i="15"/>
  <c r="L6" i="15"/>
  <c r="M6" i="15"/>
  <c r="N6" i="15"/>
  <c r="E193" i="11"/>
  <c r="D193" i="11"/>
  <c r="C61" i="11"/>
  <c r="E61" i="11"/>
  <c r="K23" i="24"/>
  <c r="M17" i="1"/>
  <c r="K22" i="24"/>
  <c r="G75" i="1"/>
  <c r="E133" i="1"/>
  <c r="T21" i="24"/>
  <c r="V15" i="1"/>
  <c r="K21" i="24"/>
  <c r="G74" i="1"/>
  <c r="E123" i="1"/>
  <c r="J123" i="1"/>
  <c r="K15" i="1"/>
  <c r="L21" i="24"/>
  <c r="N18" i="24"/>
  <c r="P12" i="1"/>
  <c r="F17" i="24"/>
  <c r="E44" i="24"/>
  <c r="G43" i="24"/>
  <c r="H16" i="24"/>
  <c r="S14" i="24"/>
  <c r="J56" i="1"/>
  <c r="E41" i="24"/>
  <c r="F14" i="24"/>
  <c r="E56" i="1"/>
  <c r="E92" i="1"/>
  <c r="E88" i="1"/>
  <c r="J88" i="1"/>
  <c r="K8" i="1"/>
  <c r="L14" i="24"/>
  <c r="E40" i="24"/>
  <c r="F13" i="24"/>
  <c r="D150" i="2"/>
  <c r="I128" i="2"/>
  <c r="I134" i="2"/>
  <c r="B105" i="2"/>
  <c r="B116" i="2"/>
  <c r="K96" i="2"/>
  <c r="I100" i="2"/>
  <c r="I116" i="2"/>
  <c r="I82" i="2"/>
  <c r="B60" i="3"/>
  <c r="B65" i="3"/>
  <c r="C48" i="6"/>
  <c r="C26" i="3"/>
  <c r="C30" i="3"/>
  <c r="F24" i="6"/>
  <c r="H24" i="6"/>
  <c r="B61" i="3"/>
  <c r="C22" i="3"/>
  <c r="J13" i="3"/>
  <c r="G15" i="4"/>
  <c r="H15" i="4"/>
  <c r="G17" i="4"/>
  <c r="H17" i="4"/>
  <c r="G19" i="4"/>
  <c r="H19" i="4"/>
  <c r="G21" i="4"/>
  <c r="H21" i="4"/>
  <c r="G22" i="4"/>
  <c r="H22" i="4"/>
  <c r="D18" i="3"/>
  <c r="J7" i="3"/>
  <c r="G20" i="4"/>
  <c r="H20" i="4"/>
  <c r="H51" i="4"/>
  <c r="J51" i="4"/>
  <c r="G50" i="4"/>
  <c r="H50" i="4"/>
  <c r="N28" i="4"/>
  <c r="N21" i="4"/>
  <c r="G18" i="4"/>
  <c r="H18" i="4"/>
  <c r="G11" i="15"/>
  <c r="F11" i="15"/>
  <c r="R7" i="15"/>
  <c r="L7" i="15"/>
  <c r="D5" i="14"/>
  <c r="C153" i="11"/>
  <c r="B77" i="2"/>
  <c r="B93" i="2"/>
  <c r="K68" i="2"/>
  <c r="I72" i="2"/>
  <c r="F23" i="4"/>
  <c r="P11" i="3"/>
  <c r="L12" i="3"/>
  <c r="G36" i="4"/>
  <c r="H36" i="4"/>
  <c r="G38" i="4"/>
  <c r="H38" i="4"/>
  <c r="G40" i="4"/>
  <c r="H40" i="4"/>
  <c r="D20" i="3"/>
  <c r="D28" i="3"/>
  <c r="C63" i="3"/>
  <c r="O9" i="3"/>
  <c r="S9" i="3"/>
  <c r="J9" i="3"/>
  <c r="J52" i="4"/>
  <c r="H52" i="4"/>
  <c r="N40" i="4"/>
  <c r="N38" i="4"/>
  <c r="N36" i="4"/>
  <c r="G31" i="4"/>
  <c r="H31" i="4"/>
  <c r="D33" i="4"/>
  <c r="D61" i="4"/>
  <c r="B112" i="4"/>
  <c r="N15" i="4"/>
  <c r="W12" i="15"/>
  <c r="V12" i="15"/>
  <c r="U12" i="15"/>
  <c r="N12" i="15"/>
  <c r="O8" i="15"/>
  <c r="O5" i="15"/>
  <c r="H13" i="15"/>
  <c r="E16" i="7"/>
  <c r="C21" i="11"/>
  <c r="D16" i="7"/>
  <c r="H26" i="24"/>
  <c r="G53" i="24"/>
  <c r="F25" i="24"/>
  <c r="E52" i="24"/>
  <c r="F24" i="24"/>
  <c r="E51" i="24"/>
  <c r="F21" i="24"/>
  <c r="E48" i="24"/>
  <c r="U6" i="1"/>
  <c r="I6" i="1"/>
  <c r="D68" i="2"/>
  <c r="P9" i="3"/>
  <c r="L10" i="3"/>
  <c r="G32" i="4"/>
  <c r="H32" i="4"/>
  <c r="G26" i="4"/>
  <c r="H26" i="4"/>
  <c r="G28" i="4"/>
  <c r="H28" i="4"/>
  <c r="G30" i="4"/>
  <c r="H30" i="4"/>
  <c r="H49" i="4"/>
  <c r="H45" i="4"/>
  <c r="F53" i="4"/>
  <c r="J41" i="4"/>
  <c r="H35" i="4"/>
  <c r="N17" i="4"/>
  <c r="H16" i="4"/>
  <c r="D23" i="4"/>
  <c r="D58" i="4"/>
  <c r="AC11" i="15"/>
  <c r="G10" i="15"/>
  <c r="F10" i="15"/>
  <c r="G6" i="15"/>
  <c r="F6" i="15"/>
  <c r="E30" i="11"/>
  <c r="D30" i="11"/>
  <c r="C74" i="11"/>
  <c r="K14" i="6"/>
  <c r="K27" i="6"/>
  <c r="J14" i="6"/>
  <c r="C19" i="11"/>
  <c r="F20" i="8"/>
  <c r="B16" i="11"/>
  <c r="E13" i="7"/>
  <c r="H17" i="8"/>
  <c r="G27" i="10"/>
  <c r="C94" i="19"/>
  <c r="E94" i="19"/>
  <c r="K8" i="15"/>
  <c r="E8" i="15"/>
  <c r="D38" i="6"/>
  <c r="D42" i="6"/>
  <c r="D27" i="8"/>
  <c r="C22" i="11"/>
  <c r="D17" i="7"/>
  <c r="J17" i="7"/>
  <c r="F23" i="8"/>
  <c r="B105" i="11"/>
  <c r="G14" i="7"/>
  <c r="H14" i="7"/>
  <c r="E197" i="11"/>
  <c r="D197" i="11"/>
  <c r="B65" i="11"/>
  <c r="Q9" i="15"/>
  <c r="E9" i="15"/>
  <c r="V7" i="15"/>
  <c r="AC6" i="15"/>
  <c r="H7" i="14"/>
  <c r="D15" i="5"/>
  <c r="N26" i="6"/>
  <c r="B101" i="11"/>
  <c r="N13" i="6"/>
  <c r="R8" i="6"/>
  <c r="S21" i="6"/>
  <c r="C24" i="11"/>
  <c r="D19" i="7"/>
  <c r="J19" i="7"/>
  <c r="C17" i="11"/>
  <c r="E17" i="11"/>
  <c r="D14" i="7"/>
  <c r="G16" i="7"/>
  <c r="E14" i="7"/>
  <c r="M165" i="11"/>
  <c r="L165" i="11"/>
  <c r="W5" i="15"/>
  <c r="I16" i="7"/>
  <c r="E185" i="11"/>
  <c r="E141" i="11"/>
  <c r="D141" i="11"/>
  <c r="M121" i="11"/>
  <c r="L121" i="11"/>
  <c r="D61" i="11"/>
  <c r="G116" i="19"/>
  <c r="E116" i="19"/>
  <c r="I116" i="19"/>
  <c r="D18" i="7"/>
  <c r="J18" i="7"/>
  <c r="D24" i="8"/>
  <c r="D34" i="8"/>
  <c r="E18" i="8"/>
  <c r="E21" i="11"/>
  <c r="C65" i="11"/>
  <c r="C18" i="11"/>
  <c r="D15" i="7"/>
  <c r="J15" i="7"/>
  <c r="F19" i="8"/>
  <c r="I14" i="7"/>
  <c r="C25" i="11"/>
  <c r="E25" i="11"/>
  <c r="D21" i="11"/>
  <c r="D11" i="7"/>
  <c r="D6" i="7"/>
  <c r="H27" i="10"/>
  <c r="C119" i="19"/>
  <c r="E119" i="19"/>
  <c r="K116" i="19"/>
  <c r="F27" i="10"/>
  <c r="E25" i="8"/>
  <c r="E29" i="8"/>
  <c r="E33" i="8"/>
  <c r="E22" i="8"/>
  <c r="E27" i="8"/>
  <c r="E38" i="8"/>
  <c r="E23" i="8"/>
  <c r="E19" i="8"/>
  <c r="E34" i="8"/>
  <c r="E17" i="8"/>
  <c r="AC7" i="15"/>
  <c r="R8" i="15"/>
  <c r="L8" i="15"/>
  <c r="M14" i="6"/>
  <c r="N14" i="6"/>
  <c r="N27" i="6"/>
  <c r="R38" i="4"/>
  <c r="K31" i="4"/>
  <c r="L31" i="4"/>
  <c r="K26" i="4"/>
  <c r="K28" i="4"/>
  <c r="L28" i="4"/>
  <c r="K30" i="4"/>
  <c r="L30" i="4"/>
  <c r="K32" i="4"/>
  <c r="L32" i="4"/>
  <c r="K27" i="4"/>
  <c r="L27" i="4"/>
  <c r="E19" i="3"/>
  <c r="E27" i="3"/>
  <c r="D62" i="3"/>
  <c r="N9" i="3"/>
  <c r="K25" i="4"/>
  <c r="L25" i="4"/>
  <c r="K29" i="4"/>
  <c r="L29" i="4"/>
  <c r="R21" i="4"/>
  <c r="K15" i="4"/>
  <c r="L15" i="4"/>
  <c r="K17" i="4"/>
  <c r="L17" i="4"/>
  <c r="K19" i="4"/>
  <c r="E18" i="3"/>
  <c r="E26" i="3"/>
  <c r="D61" i="3"/>
  <c r="K21" i="4"/>
  <c r="L21" i="4"/>
  <c r="K16" i="4"/>
  <c r="L16" i="4"/>
  <c r="K22" i="4"/>
  <c r="N7" i="3"/>
  <c r="K20" i="4"/>
  <c r="L20" i="4"/>
  <c r="K18" i="4"/>
  <c r="L18" i="4"/>
  <c r="P14" i="3"/>
  <c r="T13" i="3"/>
  <c r="T14" i="3"/>
  <c r="N22" i="4"/>
  <c r="L22" i="4"/>
  <c r="E126" i="1"/>
  <c r="E102" i="1"/>
  <c r="J102" i="1"/>
  <c r="K12" i="1"/>
  <c r="E103" i="1"/>
  <c r="J103" i="1"/>
  <c r="N12" i="1"/>
  <c r="E105" i="1"/>
  <c r="E106" i="1"/>
  <c r="E104" i="1"/>
  <c r="F9" i="15"/>
  <c r="G9" i="15"/>
  <c r="N197" i="11"/>
  <c r="O197" i="11"/>
  <c r="G19" i="9"/>
  <c r="D105" i="11"/>
  <c r="E105" i="11"/>
  <c r="C149" i="11"/>
  <c r="F13" i="7"/>
  <c r="J17" i="8"/>
  <c r="B60" i="11"/>
  <c r="R17" i="4"/>
  <c r="I26" i="1"/>
  <c r="I27" i="1"/>
  <c r="J12" i="24"/>
  <c r="V8" i="15"/>
  <c r="AD12" i="15"/>
  <c r="X12" i="15"/>
  <c r="R40" i="4"/>
  <c r="N7" i="15"/>
  <c r="M7" i="15"/>
  <c r="N51" i="4"/>
  <c r="D22" i="3"/>
  <c r="D26" i="3"/>
  <c r="E150" i="2"/>
  <c r="F150" i="2"/>
  <c r="D17" i="11"/>
  <c r="E96" i="2"/>
  <c r="F96" i="2"/>
  <c r="V9" i="15"/>
  <c r="L26" i="4"/>
  <c r="J33" i="4"/>
  <c r="N26" i="4"/>
  <c r="D25" i="11"/>
  <c r="E125" i="1"/>
  <c r="N45" i="4"/>
  <c r="J53" i="4"/>
  <c r="C121" i="2"/>
  <c r="O26" i="1"/>
  <c r="O27" i="1"/>
  <c r="P12" i="24"/>
  <c r="E130" i="1"/>
  <c r="J130" i="1"/>
  <c r="K16" i="1"/>
  <c r="L22" i="24"/>
  <c r="T22" i="24"/>
  <c r="J75" i="1"/>
  <c r="V16" i="1"/>
  <c r="E146" i="1"/>
  <c r="E145" i="1"/>
  <c r="J145" i="1"/>
  <c r="N18" i="1"/>
  <c r="O24" i="24"/>
  <c r="N13" i="24"/>
  <c r="H68" i="1"/>
  <c r="N15" i="6"/>
  <c r="N37" i="6"/>
  <c r="J33" i="8"/>
  <c r="B118" i="11"/>
  <c r="M15" i="6"/>
  <c r="B134" i="2"/>
  <c r="E132" i="1"/>
  <c r="W13" i="24"/>
  <c r="K68" i="1"/>
  <c r="I85" i="1"/>
  <c r="I93" i="2"/>
  <c r="N19" i="24"/>
  <c r="H72" i="1"/>
  <c r="P13" i="1"/>
  <c r="E155" i="1"/>
  <c r="E153" i="1"/>
  <c r="E113" i="1"/>
  <c r="B30" i="14"/>
  <c r="B111" i="4"/>
  <c r="B114" i="4"/>
  <c r="D63" i="4"/>
  <c r="B95" i="4"/>
  <c r="C5" i="5"/>
  <c r="C4" i="18"/>
  <c r="L96" i="2"/>
  <c r="M96" i="2"/>
  <c r="X6" i="15"/>
  <c r="S6" i="15"/>
  <c r="R32" i="4"/>
  <c r="N18" i="4"/>
  <c r="M119" i="2"/>
  <c r="L119" i="2"/>
  <c r="H29" i="24"/>
  <c r="G56" i="24"/>
  <c r="J14" i="7"/>
  <c r="J7" i="14"/>
  <c r="S9" i="15"/>
  <c r="T9" i="15"/>
  <c r="X9" i="15"/>
  <c r="H23" i="8"/>
  <c r="B22" i="11"/>
  <c r="M30" i="11"/>
  <c r="L30" i="11"/>
  <c r="N41" i="4"/>
  <c r="L41" i="4"/>
  <c r="D117" i="4"/>
  <c r="P10" i="3"/>
  <c r="T9" i="3"/>
  <c r="T10" i="3"/>
  <c r="U26" i="1"/>
  <c r="U27" i="1"/>
  <c r="V12" i="24"/>
  <c r="J16" i="7"/>
  <c r="R15" i="4"/>
  <c r="C113" i="4"/>
  <c r="D153" i="11"/>
  <c r="E153" i="11"/>
  <c r="Y7" i="15"/>
  <c r="S7" i="15"/>
  <c r="R28" i="4"/>
  <c r="C121" i="4"/>
  <c r="C108" i="4"/>
  <c r="H23" i="4"/>
  <c r="E58" i="4"/>
  <c r="Q18" i="24"/>
  <c r="S12" i="1"/>
  <c r="I71" i="1"/>
  <c r="W21" i="24"/>
  <c r="K74" i="1"/>
  <c r="I127" i="1"/>
  <c r="N23" i="24"/>
  <c r="P17" i="1"/>
  <c r="H76" i="1"/>
  <c r="V10" i="15"/>
  <c r="R20" i="4"/>
  <c r="B32" i="14"/>
  <c r="B119" i="4"/>
  <c r="B122" i="4"/>
  <c r="D69" i="4"/>
  <c r="B97" i="4"/>
  <c r="AE8" i="15"/>
  <c r="X11" i="15"/>
  <c r="S11" i="15"/>
  <c r="P7" i="3"/>
  <c r="L8" i="3"/>
  <c r="E119" i="1"/>
  <c r="E118" i="1"/>
  <c r="E116" i="1"/>
  <c r="J116" i="1"/>
  <c r="K14" i="1"/>
  <c r="L20" i="24"/>
  <c r="E120" i="1"/>
  <c r="E144" i="1"/>
  <c r="J144" i="1"/>
  <c r="K18" i="1"/>
  <c r="L24" i="24"/>
  <c r="E124" i="1"/>
  <c r="J124" i="1"/>
  <c r="N15" i="1"/>
  <c r="O21" i="24"/>
  <c r="N6" i="4"/>
  <c r="F12" i="24"/>
  <c r="E39" i="24"/>
  <c r="E26" i="1"/>
  <c r="E140" i="1"/>
  <c r="E74" i="11"/>
  <c r="E16" i="10"/>
  <c r="D74" i="11"/>
  <c r="C118" i="11"/>
  <c r="O36" i="4"/>
  <c r="O38" i="4"/>
  <c r="P38" i="4"/>
  <c r="O40" i="4"/>
  <c r="P40" i="4"/>
  <c r="O41" i="4"/>
  <c r="O42" i="4"/>
  <c r="P42" i="4"/>
  <c r="R11" i="3"/>
  <c r="O35" i="4"/>
  <c r="O37" i="4"/>
  <c r="P37" i="4"/>
  <c r="O39" i="4"/>
  <c r="P39" i="4"/>
  <c r="F20" i="3"/>
  <c r="F28" i="3"/>
  <c r="E63" i="3"/>
  <c r="F120" i="2"/>
  <c r="E134" i="1"/>
  <c r="X10" i="15"/>
  <c r="S10" i="15"/>
  <c r="T10" i="15"/>
  <c r="C138" i="2"/>
  <c r="H84" i="1"/>
  <c r="H85" i="1"/>
  <c r="E82" i="1"/>
  <c r="E152" i="1"/>
  <c r="H30" i="24"/>
  <c r="E25" i="6"/>
  <c r="G57" i="24"/>
  <c r="C12" i="11"/>
  <c r="E112" i="1"/>
  <c r="B18" i="11"/>
  <c r="H19" i="8"/>
  <c r="AD5" i="15"/>
  <c r="D101" i="11"/>
  <c r="C145" i="11"/>
  <c r="E101" i="11"/>
  <c r="D65" i="11"/>
  <c r="E65" i="11"/>
  <c r="C109" i="11"/>
  <c r="B19" i="11"/>
  <c r="AC12" i="15"/>
  <c r="D84" i="11"/>
  <c r="C62" i="14"/>
  <c r="I51" i="6"/>
  <c r="G15" i="5"/>
  <c r="B69" i="11"/>
  <c r="G134" i="1"/>
  <c r="G133" i="1"/>
  <c r="G132" i="1"/>
  <c r="N14" i="24"/>
  <c r="H69" i="1"/>
  <c r="P8" i="1"/>
  <c r="Q24" i="24"/>
  <c r="S18" i="1"/>
  <c r="I77" i="1"/>
  <c r="E127" i="1"/>
  <c r="R49" i="4"/>
  <c r="L150" i="2"/>
  <c r="M150" i="2"/>
  <c r="E85" i="1"/>
  <c r="N21" i="11"/>
  <c r="O21" i="11"/>
  <c r="C19" i="9"/>
  <c r="Q13" i="6"/>
  <c r="P13" i="6"/>
  <c r="Q26" i="6"/>
  <c r="B145" i="11"/>
  <c r="F5" i="14"/>
  <c r="F8" i="15"/>
  <c r="G8" i="15"/>
  <c r="C60" i="11"/>
  <c r="D16" i="10"/>
  <c r="B29" i="14"/>
  <c r="D60" i="4"/>
  <c r="B107" i="4"/>
  <c r="B110" i="4"/>
  <c r="H53" i="4"/>
  <c r="E67" i="4"/>
  <c r="C120" i="4"/>
  <c r="E68" i="2"/>
  <c r="C159" i="2"/>
  <c r="F68" i="2"/>
  <c r="O13" i="15"/>
  <c r="V5" i="15"/>
  <c r="R36" i="4"/>
  <c r="P36" i="4"/>
  <c r="N52" i="4"/>
  <c r="P12" i="3"/>
  <c r="T11" i="3"/>
  <c r="T12" i="3"/>
  <c r="L68" i="2"/>
  <c r="M68" i="2"/>
  <c r="C109" i="4"/>
  <c r="K45" i="4"/>
  <c r="L45" i="4"/>
  <c r="K47" i="4"/>
  <c r="L47" i="4"/>
  <c r="K49" i="4"/>
  <c r="L49" i="4"/>
  <c r="K48" i="4"/>
  <c r="L48" i="4"/>
  <c r="K51" i="4"/>
  <c r="L51" i="4"/>
  <c r="N13" i="3"/>
  <c r="E21" i="3"/>
  <c r="E29" i="3"/>
  <c r="D64" i="3"/>
  <c r="K46" i="4"/>
  <c r="L46" i="4"/>
  <c r="K50" i="4"/>
  <c r="L50" i="4"/>
  <c r="K52" i="4"/>
  <c r="L52" i="4"/>
  <c r="D121" i="4"/>
  <c r="N47" i="4"/>
  <c r="J23" i="4"/>
  <c r="E17" i="3"/>
  <c r="K11" i="4"/>
  <c r="L11" i="4"/>
  <c r="K8" i="4"/>
  <c r="L8" i="4"/>
  <c r="L22" i="6"/>
  <c r="K7" i="4"/>
  <c r="K6" i="4"/>
  <c r="L6" i="4"/>
  <c r="L20" i="6"/>
  <c r="N20" i="6"/>
  <c r="M7" i="6"/>
  <c r="N5" i="3"/>
  <c r="K5" i="4"/>
  <c r="L5" i="4"/>
  <c r="K12" i="4"/>
  <c r="L12" i="4"/>
  <c r="K9" i="4"/>
  <c r="L9" i="4"/>
  <c r="K10" i="4"/>
  <c r="Q15" i="24"/>
  <c r="S9" i="1"/>
  <c r="I70" i="1"/>
  <c r="N19" i="4"/>
  <c r="L19" i="4"/>
  <c r="J28" i="8"/>
  <c r="G31" i="2"/>
  <c r="N20" i="24"/>
  <c r="P14" i="1"/>
  <c r="H73" i="1"/>
  <c r="E53" i="24"/>
  <c r="F26" i="24"/>
  <c r="E117" i="1"/>
  <c r="F16" i="24"/>
  <c r="E43" i="24"/>
  <c r="F126" i="1"/>
  <c r="F127" i="1"/>
  <c r="F125" i="1"/>
  <c r="E81" i="1"/>
  <c r="J81" i="1"/>
  <c r="K7" i="1"/>
  <c r="E131" i="1"/>
  <c r="J131" i="1"/>
  <c r="N16" i="1"/>
  <c r="O22" i="24"/>
  <c r="E90" i="1"/>
  <c r="E96" i="1"/>
  <c r="J96" i="1"/>
  <c r="N9" i="1"/>
  <c r="O15" i="24"/>
  <c r="E99" i="1"/>
  <c r="E95" i="1"/>
  <c r="J95" i="1"/>
  <c r="K9" i="1"/>
  <c r="L15" i="24"/>
  <c r="E89" i="1"/>
  <c r="N25" i="24"/>
  <c r="P19" i="1"/>
  <c r="H78" i="1"/>
  <c r="R5" i="4"/>
  <c r="E91" i="1"/>
  <c r="E83" i="1"/>
  <c r="N30" i="4"/>
  <c r="D4" i="7"/>
  <c r="F4" i="8"/>
  <c r="D3" i="8"/>
  <c r="C6" i="11"/>
  <c r="D120" i="4"/>
  <c r="R30" i="4"/>
  <c r="R19" i="4"/>
  <c r="T15" i="24"/>
  <c r="V9" i="1"/>
  <c r="J70" i="1"/>
  <c r="O52" i="4"/>
  <c r="O45" i="4"/>
  <c r="O47" i="4"/>
  <c r="O49" i="4"/>
  <c r="P49" i="4"/>
  <c r="F21" i="3"/>
  <c r="F29" i="3"/>
  <c r="E64" i="3"/>
  <c r="O48" i="4"/>
  <c r="P48" i="4"/>
  <c r="R13" i="3"/>
  <c r="O51" i="4"/>
  <c r="O50" i="4"/>
  <c r="P50" i="4"/>
  <c r="O46" i="4"/>
  <c r="P46" i="4"/>
  <c r="J69" i="2"/>
  <c r="D145" i="11"/>
  <c r="E145" i="11"/>
  <c r="C189" i="11"/>
  <c r="C17" i="19"/>
  <c r="D25" i="10"/>
  <c r="J151" i="2"/>
  <c r="J127" i="1"/>
  <c r="W15" i="1"/>
  <c r="X21" i="24"/>
  <c r="Q14" i="24"/>
  <c r="I69" i="1"/>
  <c r="S8" i="1"/>
  <c r="E109" i="11"/>
  <c r="D109" i="11"/>
  <c r="D13" i="8"/>
  <c r="E28" i="6"/>
  <c r="D41" i="6"/>
  <c r="D43" i="6"/>
  <c r="F29" i="24"/>
  <c r="E56" i="24"/>
  <c r="R6" i="4"/>
  <c r="Z11" i="15"/>
  <c r="AA11" i="15"/>
  <c r="AE11" i="15"/>
  <c r="AB11" i="15"/>
  <c r="AC10" i="15"/>
  <c r="T18" i="24"/>
  <c r="V12" i="1"/>
  <c r="J71" i="1"/>
  <c r="I21" i="7"/>
  <c r="V29" i="24"/>
  <c r="I4" i="7"/>
  <c r="P41" i="4"/>
  <c r="E117" i="4"/>
  <c r="R41" i="4"/>
  <c r="R18" i="4"/>
  <c r="E31" i="11"/>
  <c r="Q19" i="24"/>
  <c r="I72" i="1"/>
  <c r="S13" i="1"/>
  <c r="F83" i="1"/>
  <c r="F82" i="1"/>
  <c r="F85" i="1"/>
  <c r="F84" i="1"/>
  <c r="J84" i="1"/>
  <c r="T7" i="1"/>
  <c r="W22" i="24"/>
  <c r="K75" i="1"/>
  <c r="I134" i="1"/>
  <c r="D121" i="2"/>
  <c r="J30" i="24"/>
  <c r="C49" i="6"/>
  <c r="C117" i="19"/>
  <c r="H25" i="10"/>
  <c r="Y8" i="15"/>
  <c r="S8" i="15"/>
  <c r="B6" i="11"/>
  <c r="H4" i="8"/>
  <c r="J83" i="1"/>
  <c r="Q7" i="1"/>
  <c r="Q25" i="24"/>
  <c r="S19" i="1"/>
  <c r="I78" i="1"/>
  <c r="F118" i="1"/>
  <c r="F119" i="1"/>
  <c r="F120" i="1"/>
  <c r="F117" i="1"/>
  <c r="B113" i="11"/>
  <c r="O7" i="4"/>
  <c r="O11" i="4"/>
  <c r="P11" i="4"/>
  <c r="O12" i="4"/>
  <c r="P12" i="4"/>
  <c r="O5" i="4"/>
  <c r="P5" i="4"/>
  <c r="O8" i="4"/>
  <c r="P8" i="4"/>
  <c r="O10" i="4"/>
  <c r="R5" i="3"/>
  <c r="O9" i="4"/>
  <c r="O6" i="4"/>
  <c r="P6" i="4"/>
  <c r="F17" i="3"/>
  <c r="AC5" i="15"/>
  <c r="V13" i="15"/>
  <c r="S13" i="6"/>
  <c r="T26" i="6"/>
  <c r="B189" i="11"/>
  <c r="T24" i="24"/>
  <c r="V18" i="1"/>
  <c r="J77" i="1"/>
  <c r="K51" i="6"/>
  <c r="J51" i="6"/>
  <c r="M51" i="6"/>
  <c r="L51" i="6"/>
  <c r="O65" i="11"/>
  <c r="D19" i="9"/>
  <c r="N65" i="11"/>
  <c r="E18" i="11"/>
  <c r="C62" i="11"/>
  <c r="D18" i="11"/>
  <c r="D138" i="2"/>
  <c r="P8" i="3"/>
  <c r="T7" i="3"/>
  <c r="T8" i="3"/>
  <c r="F141" i="1"/>
  <c r="F140" i="1"/>
  <c r="F139" i="1"/>
  <c r="F138" i="1"/>
  <c r="J138" i="1"/>
  <c r="N17" i="1"/>
  <c r="O23" i="24"/>
  <c r="T7" i="15"/>
  <c r="U7" i="15"/>
  <c r="B66" i="11"/>
  <c r="J23" i="8"/>
  <c r="Z6" i="15"/>
  <c r="AA6" i="15"/>
  <c r="AE6" i="15"/>
  <c r="J97" i="2"/>
  <c r="P15" i="6"/>
  <c r="Q15" i="6"/>
  <c r="Q37" i="6"/>
  <c r="L33" i="8"/>
  <c r="B162" i="11"/>
  <c r="P29" i="24"/>
  <c r="G21" i="7"/>
  <c r="G4" i="7"/>
  <c r="P45" i="4"/>
  <c r="N53" i="4"/>
  <c r="R45" i="4"/>
  <c r="R26" i="4"/>
  <c r="N33" i="4"/>
  <c r="AC9" i="15"/>
  <c r="N17" i="11"/>
  <c r="O17" i="11"/>
  <c r="C18" i="9"/>
  <c r="C16" i="19"/>
  <c r="C61" i="3"/>
  <c r="D30" i="3"/>
  <c r="I24" i="6"/>
  <c r="K24" i="6"/>
  <c r="Z12" i="15"/>
  <c r="AE12" i="15"/>
  <c r="AG12" i="15"/>
  <c r="E60" i="11"/>
  <c r="D60" i="11"/>
  <c r="C104" i="11"/>
  <c r="L18" i="24"/>
  <c r="O15" i="4"/>
  <c r="P15" i="4"/>
  <c r="O17" i="4"/>
  <c r="P17" i="4"/>
  <c r="O19" i="4"/>
  <c r="P19" i="4"/>
  <c r="O18" i="4"/>
  <c r="P18" i="4"/>
  <c r="O21" i="4"/>
  <c r="P21" i="4"/>
  <c r="O16" i="4"/>
  <c r="P16" i="4"/>
  <c r="F18" i="3"/>
  <c r="F26" i="3"/>
  <c r="E61" i="3"/>
  <c r="R7" i="3"/>
  <c r="O20" i="4"/>
  <c r="P20" i="4"/>
  <c r="O22" i="4"/>
  <c r="O26" i="4"/>
  <c r="P26" i="4"/>
  <c r="O28" i="4"/>
  <c r="P28" i="4"/>
  <c r="O30" i="4"/>
  <c r="P30" i="4"/>
  <c r="O31" i="4"/>
  <c r="P31" i="4"/>
  <c r="F19" i="3"/>
  <c r="F27" i="3"/>
  <c r="E62" i="3"/>
  <c r="O32" i="4"/>
  <c r="P32" i="4"/>
  <c r="O27" i="4"/>
  <c r="P27" i="4"/>
  <c r="P33" i="4"/>
  <c r="R9" i="3"/>
  <c r="O25" i="4"/>
  <c r="P25" i="4"/>
  <c r="O29" i="4"/>
  <c r="P29" i="4"/>
  <c r="J117" i="1"/>
  <c r="N14" i="1"/>
  <c r="O20" i="24"/>
  <c r="Q20" i="24"/>
  <c r="S14" i="1"/>
  <c r="I73" i="1"/>
  <c r="G97" i="1"/>
  <c r="J97" i="1"/>
  <c r="Q9" i="1"/>
  <c r="R15" i="24"/>
  <c r="G98" i="1"/>
  <c r="G99" i="1"/>
  <c r="E22" i="3"/>
  <c r="E25" i="3"/>
  <c r="C69" i="2"/>
  <c r="D159" i="2"/>
  <c r="B94" i="4"/>
  <c r="D128" i="11"/>
  <c r="J15" i="5"/>
  <c r="D62" i="14"/>
  <c r="N51" i="6"/>
  <c r="J85" i="1"/>
  <c r="W7" i="1"/>
  <c r="M84" i="11"/>
  <c r="L84" i="11"/>
  <c r="D10" i="9"/>
  <c r="C33" i="19"/>
  <c r="D19" i="11"/>
  <c r="E19" i="11"/>
  <c r="F19" i="11"/>
  <c r="C63" i="11"/>
  <c r="J82" i="1"/>
  <c r="N7" i="1"/>
  <c r="T11" i="15"/>
  <c r="U11" i="15"/>
  <c r="Q23" i="24"/>
  <c r="S17" i="1"/>
  <c r="I76" i="1"/>
  <c r="G106" i="1"/>
  <c r="G104" i="1"/>
  <c r="J104" i="1"/>
  <c r="Q12" i="1"/>
  <c r="G105" i="1"/>
  <c r="AF7" i="15"/>
  <c r="AG7" i="15"/>
  <c r="Z7" i="15"/>
  <c r="V30" i="24"/>
  <c r="X49" i="6"/>
  <c r="AE9" i="15"/>
  <c r="AG9" i="15"/>
  <c r="AH9" i="15"/>
  <c r="Z9" i="15"/>
  <c r="AA9" i="15"/>
  <c r="F5" i="5"/>
  <c r="D4" i="18"/>
  <c r="B104" i="11"/>
  <c r="L17" i="8"/>
  <c r="G13" i="7"/>
  <c r="O105" i="11"/>
  <c r="E18" i="9"/>
  <c r="C66" i="19"/>
  <c r="N105" i="11"/>
  <c r="J126" i="1"/>
  <c r="T15" i="1"/>
  <c r="U21" i="24"/>
  <c r="N23" i="4"/>
  <c r="M8" i="15"/>
  <c r="N8" i="15"/>
  <c r="F154" i="1"/>
  <c r="F155" i="1"/>
  <c r="F153" i="1"/>
  <c r="F152" i="1"/>
  <c r="J152" i="1"/>
  <c r="N19" i="1"/>
  <c r="O25" i="24"/>
  <c r="L28" i="8"/>
  <c r="H31" i="2"/>
  <c r="N28" i="8"/>
  <c r="P47" i="4"/>
  <c r="R47" i="4"/>
  <c r="R52" i="4"/>
  <c r="P52" i="4"/>
  <c r="E21" i="19"/>
  <c r="G147" i="1"/>
  <c r="G148" i="1"/>
  <c r="G146" i="1"/>
  <c r="J146" i="1"/>
  <c r="Q18" i="1"/>
  <c r="R24" i="24"/>
  <c r="F90" i="1"/>
  <c r="F91" i="1"/>
  <c r="F89" i="1"/>
  <c r="J89" i="1"/>
  <c r="N8" i="1"/>
  <c r="O14" i="24"/>
  <c r="F92" i="1"/>
  <c r="C113" i="11"/>
  <c r="E69" i="11"/>
  <c r="D69" i="11"/>
  <c r="L101" i="11"/>
  <c r="M101" i="11"/>
  <c r="J19" i="8"/>
  <c r="B62" i="11"/>
  <c r="AE10" i="15"/>
  <c r="AG10" i="15"/>
  <c r="AH10" i="15"/>
  <c r="Z10" i="15"/>
  <c r="AA10" i="15"/>
  <c r="S36" i="4"/>
  <c r="T36" i="4"/>
  <c r="S38" i="4"/>
  <c r="T38" i="4"/>
  <c r="S40" i="4"/>
  <c r="S41" i="4"/>
  <c r="G20" i="3"/>
  <c r="G28" i="3"/>
  <c r="F63" i="3"/>
  <c r="S35" i="4"/>
  <c r="S39" i="4"/>
  <c r="T39" i="4"/>
  <c r="S37" i="4"/>
  <c r="T37" i="4"/>
  <c r="S42" i="4"/>
  <c r="T42" i="4"/>
  <c r="L74" i="11"/>
  <c r="M74" i="11"/>
  <c r="U10" i="15"/>
  <c r="D29" i="14"/>
  <c r="C107" i="4"/>
  <c r="C110" i="4"/>
  <c r="E60" i="4"/>
  <c r="C94" i="4"/>
  <c r="O153" i="11"/>
  <c r="F19" i="9"/>
  <c r="N153" i="11"/>
  <c r="D22" i="11"/>
  <c r="E22" i="11"/>
  <c r="C66" i="11"/>
  <c r="J120" i="2"/>
  <c r="T6" i="15"/>
  <c r="U6" i="15"/>
  <c r="F113" i="1"/>
  <c r="F112" i="1"/>
  <c r="F111" i="1"/>
  <c r="F110" i="1"/>
  <c r="J110" i="1"/>
  <c r="N13" i="1"/>
  <c r="O19" i="24"/>
  <c r="J132" i="1"/>
  <c r="Q16" i="1"/>
  <c r="R22" i="24"/>
  <c r="E118" i="11"/>
  <c r="F16" i="10"/>
  <c r="C162" i="11"/>
  <c r="D118" i="11"/>
  <c r="H133" i="1"/>
  <c r="J133" i="1"/>
  <c r="T16" i="1"/>
  <c r="U22" i="24"/>
  <c r="H134" i="1"/>
  <c r="J134" i="1"/>
  <c r="W16" i="1"/>
  <c r="X22" i="24"/>
  <c r="P30" i="24"/>
  <c r="N49" i="6"/>
  <c r="M25" i="11"/>
  <c r="L25" i="11"/>
  <c r="U9" i="15"/>
  <c r="C97" i="2"/>
  <c r="C151" i="2"/>
  <c r="R51" i="4"/>
  <c r="P51" i="4"/>
  <c r="E121" i="4"/>
  <c r="T40" i="4"/>
  <c r="AC8" i="15"/>
  <c r="J29" i="24"/>
  <c r="E21" i="7"/>
  <c r="E4" i="7"/>
  <c r="D149" i="11"/>
  <c r="E149" i="11"/>
  <c r="O18" i="24"/>
  <c r="R22" i="4"/>
  <c r="R23" i="4"/>
  <c r="P22" i="4"/>
  <c r="D109" i="4"/>
  <c r="D108" i="4"/>
  <c r="L23" i="4"/>
  <c r="F58" i="4"/>
  <c r="L33" i="4"/>
  <c r="F61" i="4"/>
  <c r="D112" i="4"/>
  <c r="D113" i="4"/>
  <c r="Q14" i="6"/>
  <c r="P14" i="6"/>
  <c r="Q27" i="6"/>
  <c r="G25" i="10"/>
  <c r="C92" i="19"/>
  <c r="B157" i="11"/>
  <c r="L128" i="11"/>
  <c r="M128" i="11"/>
  <c r="S15" i="4"/>
  <c r="T15" i="4"/>
  <c r="S17" i="4"/>
  <c r="T17" i="4"/>
  <c r="S19" i="4"/>
  <c r="S22" i="4"/>
  <c r="T22" i="4"/>
  <c r="S20" i="4"/>
  <c r="T20" i="4"/>
  <c r="S18" i="4"/>
  <c r="G18" i="3"/>
  <c r="G26" i="3"/>
  <c r="F61" i="3"/>
  <c r="S21" i="4"/>
  <c r="T21" i="4"/>
  <c r="S16" i="4"/>
  <c r="T16" i="4"/>
  <c r="AA12" i="15"/>
  <c r="AB12" i="15"/>
  <c r="R33" i="4"/>
  <c r="AG6" i="15"/>
  <c r="AH6" i="15"/>
  <c r="AI6" i="15"/>
  <c r="B110" i="11"/>
  <c r="L23" i="8"/>
  <c r="C42" i="19"/>
  <c r="E25" i="10"/>
  <c r="W24" i="24"/>
  <c r="K77" i="1"/>
  <c r="I148" i="1"/>
  <c r="F25" i="3"/>
  <c r="F22" i="3"/>
  <c r="T25" i="24"/>
  <c r="J78" i="1"/>
  <c r="V19" i="1"/>
  <c r="E6" i="11"/>
  <c r="C50" i="11"/>
  <c r="D6" i="11"/>
  <c r="E49" i="6"/>
  <c r="E121" i="2"/>
  <c r="G112" i="1"/>
  <c r="G113" i="1"/>
  <c r="G111" i="1"/>
  <c r="T41" i="4"/>
  <c r="F117" i="4"/>
  <c r="W18" i="24"/>
  <c r="K71" i="1"/>
  <c r="I106" i="1"/>
  <c r="N109" i="11"/>
  <c r="O109" i="11"/>
  <c r="E19" i="9"/>
  <c r="M145" i="11"/>
  <c r="L145" i="11"/>
  <c r="C25" i="9"/>
  <c r="C23" i="19"/>
  <c r="L19" i="8"/>
  <c r="B106" i="11"/>
  <c r="M69" i="11"/>
  <c r="L69" i="11"/>
  <c r="G19" i="11"/>
  <c r="N19" i="11"/>
  <c r="D69" i="2"/>
  <c r="B160" i="2"/>
  <c r="D60" i="3"/>
  <c r="D65" i="3"/>
  <c r="N48" i="6"/>
  <c r="E30" i="3"/>
  <c r="L24" i="6"/>
  <c r="G61" i="4"/>
  <c r="E112" i="4"/>
  <c r="O60" i="11"/>
  <c r="D17" i="9"/>
  <c r="N60" i="11"/>
  <c r="AB9" i="15"/>
  <c r="S15" i="6"/>
  <c r="T37" i="6"/>
  <c r="N33" i="8"/>
  <c r="B206" i="11"/>
  <c r="K97" i="2"/>
  <c r="C110" i="11"/>
  <c r="E66" i="11"/>
  <c r="D66" i="11"/>
  <c r="O22" i="6"/>
  <c r="AG11" i="15"/>
  <c r="AH11" i="15"/>
  <c r="AI11" i="15"/>
  <c r="F121" i="2"/>
  <c r="E17" i="19"/>
  <c r="I17" i="19"/>
  <c r="G17" i="19"/>
  <c r="K17" i="19"/>
  <c r="F30" i="14"/>
  <c r="D111" i="4"/>
  <c r="D114" i="4"/>
  <c r="F63" i="4"/>
  <c r="D95" i="4"/>
  <c r="D151" i="2"/>
  <c r="J111" i="1"/>
  <c r="Q13" i="1"/>
  <c r="R19" i="24"/>
  <c r="E62" i="11"/>
  <c r="F62" i="11"/>
  <c r="D62" i="11"/>
  <c r="C106" i="11"/>
  <c r="E104" i="11"/>
  <c r="C148" i="11"/>
  <c r="D104" i="11"/>
  <c r="AA7" i="15"/>
  <c r="AB7" i="15"/>
  <c r="T23" i="24"/>
  <c r="J76" i="1"/>
  <c r="V17" i="1"/>
  <c r="S14" i="6"/>
  <c r="T27" i="6"/>
  <c r="F29" i="14"/>
  <c r="F60" i="4"/>
  <c r="D94" i="4"/>
  <c r="D107" i="4"/>
  <c r="D110" i="4"/>
  <c r="O149" i="11"/>
  <c r="F18" i="9"/>
  <c r="N149" i="11"/>
  <c r="N10" i="1"/>
  <c r="D97" i="2"/>
  <c r="O49" i="6"/>
  <c r="L118" i="11"/>
  <c r="M118" i="11"/>
  <c r="O22" i="11"/>
  <c r="C20" i="9"/>
  <c r="N22" i="11"/>
  <c r="Y49" i="6"/>
  <c r="O51" i="6"/>
  <c r="R51" i="6"/>
  <c r="P51" i="6"/>
  <c r="Q51" i="6"/>
  <c r="I5" i="5"/>
  <c r="G120" i="1"/>
  <c r="G119" i="1"/>
  <c r="G118" i="1"/>
  <c r="J118" i="1"/>
  <c r="Q14" i="1"/>
  <c r="G19" i="3"/>
  <c r="G27" i="3"/>
  <c r="F62" i="3"/>
  <c r="S26" i="4"/>
  <c r="T26" i="4"/>
  <c r="S28" i="4"/>
  <c r="T28" i="4"/>
  <c r="S30" i="4"/>
  <c r="T30" i="4"/>
  <c r="S31" i="4"/>
  <c r="T31" i="4"/>
  <c r="S27" i="4"/>
  <c r="T27" i="4"/>
  <c r="S32" i="4"/>
  <c r="T32" i="4"/>
  <c r="S25" i="4"/>
  <c r="T25" i="4"/>
  <c r="S29" i="4"/>
  <c r="T29" i="4"/>
  <c r="E113" i="4"/>
  <c r="AI9" i="15"/>
  <c r="R53" i="4"/>
  <c r="G18" i="11"/>
  <c r="N18" i="11"/>
  <c r="T8" i="15"/>
  <c r="U8" i="15"/>
  <c r="I117" i="19"/>
  <c r="K117" i="19"/>
  <c r="G117" i="19"/>
  <c r="E117" i="19"/>
  <c r="T18" i="4"/>
  <c r="AI10" i="15"/>
  <c r="T14" i="24"/>
  <c r="V8" i="1"/>
  <c r="J69" i="1"/>
  <c r="K151" i="2"/>
  <c r="K69" i="2"/>
  <c r="H99" i="1"/>
  <c r="J99" i="1"/>
  <c r="W9" i="1"/>
  <c r="X15" i="24"/>
  <c r="H98" i="1"/>
  <c r="J98" i="1"/>
  <c r="T9" i="1"/>
  <c r="U15" i="24"/>
  <c r="T19" i="4"/>
  <c r="K120" i="2"/>
  <c r="B201" i="11"/>
  <c r="B148" i="11"/>
  <c r="H13" i="7"/>
  <c r="N17" i="8"/>
  <c r="E75" i="11"/>
  <c r="G140" i="1"/>
  <c r="G141" i="1"/>
  <c r="G139" i="1"/>
  <c r="J139" i="1"/>
  <c r="Q17" i="1"/>
  <c r="R23" i="24"/>
  <c r="G33" i="19"/>
  <c r="E33" i="19"/>
  <c r="I33" i="19"/>
  <c r="K33" i="19"/>
  <c r="T20" i="24"/>
  <c r="J73" i="1"/>
  <c r="V14" i="1"/>
  <c r="E109" i="4"/>
  <c r="P23" i="4"/>
  <c r="G58" i="4"/>
  <c r="E108" i="4"/>
  <c r="R18" i="24"/>
  <c r="I16" i="19"/>
  <c r="G16" i="19"/>
  <c r="E16" i="19"/>
  <c r="K16" i="19"/>
  <c r="F138" i="2"/>
  <c r="E138" i="2"/>
  <c r="H148" i="1"/>
  <c r="J148" i="1"/>
  <c r="W18" i="1"/>
  <c r="X24" i="24"/>
  <c r="H147" i="1"/>
  <c r="J147" i="1"/>
  <c r="T18" i="1"/>
  <c r="U24" i="24"/>
  <c r="E189" i="11"/>
  <c r="D189" i="11"/>
  <c r="AC13" i="15"/>
  <c r="S5" i="4"/>
  <c r="T5" i="4"/>
  <c r="S9" i="4"/>
  <c r="S6" i="4"/>
  <c r="T6" i="4"/>
  <c r="R20" i="6"/>
  <c r="S8" i="4"/>
  <c r="S12" i="4"/>
  <c r="S7" i="4"/>
  <c r="S11" i="4"/>
  <c r="S10" i="4"/>
  <c r="D113" i="11"/>
  <c r="E113" i="11"/>
  <c r="C157" i="11"/>
  <c r="G154" i="1"/>
  <c r="G155" i="1"/>
  <c r="G153" i="1"/>
  <c r="J153" i="1"/>
  <c r="Q19" i="1"/>
  <c r="R25" i="24"/>
  <c r="J4" i="8"/>
  <c r="AF8" i="15"/>
  <c r="AG8" i="15"/>
  <c r="Z8" i="15"/>
  <c r="T19" i="24"/>
  <c r="V13" i="1"/>
  <c r="J72" i="1"/>
  <c r="H31" i="11"/>
  <c r="J11" i="11"/>
  <c r="M31" i="11"/>
  <c r="H105" i="1"/>
  <c r="J105" i="1"/>
  <c r="T12" i="1"/>
  <c r="H106" i="1"/>
  <c r="J106" i="1"/>
  <c r="W12" i="1"/>
  <c r="AB10" i="15"/>
  <c r="G91" i="1"/>
  <c r="G92" i="1"/>
  <c r="G90" i="1"/>
  <c r="J90" i="1"/>
  <c r="Q8" i="1"/>
  <c r="R14" i="24"/>
  <c r="S51" i="4"/>
  <c r="T51" i="4"/>
  <c r="G21" i="3"/>
  <c r="G29" i="3"/>
  <c r="S45" i="4"/>
  <c r="T45" i="4"/>
  <c r="S47" i="4"/>
  <c r="T47" i="4"/>
  <c r="S49" i="4"/>
  <c r="T49" i="4"/>
  <c r="S52" i="4"/>
  <c r="T52" i="4"/>
  <c r="S48" i="4"/>
  <c r="T48" i="4"/>
  <c r="S50" i="4"/>
  <c r="T50" i="4"/>
  <c r="S46" i="4"/>
  <c r="T46" i="4"/>
  <c r="W15" i="24"/>
  <c r="K70" i="1"/>
  <c r="I99" i="1"/>
  <c r="F120" i="4"/>
  <c r="L151" i="2"/>
  <c r="M151" i="2"/>
  <c r="H30" i="14"/>
  <c r="G63" i="4"/>
  <c r="E95" i="4"/>
  <c r="E111" i="4"/>
  <c r="E114" i="4"/>
  <c r="B150" i="11"/>
  <c r="N19" i="8"/>
  <c r="B194" i="11"/>
  <c r="F25" i="10"/>
  <c r="C67" i="19"/>
  <c r="L5" i="5"/>
  <c r="C154" i="11"/>
  <c r="E110" i="11"/>
  <c r="D110" i="11"/>
  <c r="T23" i="4"/>
  <c r="H58" i="4"/>
  <c r="F108" i="4"/>
  <c r="L4" i="8"/>
  <c r="M113" i="11"/>
  <c r="L113" i="11"/>
  <c r="L189" i="11"/>
  <c r="M189" i="11"/>
  <c r="C139" i="2"/>
  <c r="W20" i="24"/>
  <c r="K73" i="1"/>
  <c r="I120" i="1"/>
  <c r="J140" i="1"/>
  <c r="T17" i="1"/>
  <c r="U23" i="24"/>
  <c r="M120" i="2"/>
  <c r="L120" i="2"/>
  <c r="L69" i="2"/>
  <c r="M69" i="2"/>
  <c r="H92" i="1"/>
  <c r="H91" i="1"/>
  <c r="J91" i="1"/>
  <c r="T8" i="1"/>
  <c r="U14" i="24"/>
  <c r="E97" i="2"/>
  <c r="F97" i="2"/>
  <c r="H141" i="1"/>
  <c r="H140" i="1"/>
  <c r="O104" i="11"/>
  <c r="N104" i="11"/>
  <c r="C160" i="2"/>
  <c r="F69" i="2"/>
  <c r="E69" i="2"/>
  <c r="G23" i="19"/>
  <c r="E23" i="19"/>
  <c r="K23" i="19"/>
  <c r="I23" i="19"/>
  <c r="C122" i="2"/>
  <c r="O6" i="11"/>
  <c r="N6" i="11"/>
  <c r="W25" i="24"/>
  <c r="K78" i="1"/>
  <c r="I155" i="1"/>
  <c r="E60" i="3"/>
  <c r="E65" i="3"/>
  <c r="S48" i="6"/>
  <c r="F30" i="3"/>
  <c r="O24" i="6"/>
  <c r="F109" i="4"/>
  <c r="G92" i="19"/>
  <c r="E92" i="19"/>
  <c r="I92" i="19"/>
  <c r="K92" i="19"/>
  <c r="H112" i="1"/>
  <c r="J112" i="1"/>
  <c r="T13" i="1"/>
  <c r="H113" i="1"/>
  <c r="H119" i="1"/>
  <c r="J119" i="1"/>
  <c r="T14" i="1"/>
  <c r="U20" i="24"/>
  <c r="H120" i="1"/>
  <c r="B192" i="11"/>
  <c r="I13" i="7"/>
  <c r="J13" i="7"/>
  <c r="W14" i="24"/>
  <c r="K69" i="1"/>
  <c r="I92" i="1"/>
  <c r="E119" i="11"/>
  <c r="E151" i="2"/>
  <c r="F151" i="2"/>
  <c r="L97" i="2"/>
  <c r="M97" i="2"/>
  <c r="D25" i="9"/>
  <c r="C48" i="19"/>
  <c r="H155" i="1"/>
  <c r="H154" i="1"/>
  <c r="J154" i="1"/>
  <c r="T19" i="1"/>
  <c r="U25" i="24"/>
  <c r="G42" i="19"/>
  <c r="E42" i="19"/>
  <c r="I42" i="19"/>
  <c r="K42" i="19"/>
  <c r="E10" i="9"/>
  <c r="C58" i="19"/>
  <c r="C192" i="11"/>
  <c r="E148" i="11"/>
  <c r="D148" i="11"/>
  <c r="W23" i="24"/>
  <c r="K76" i="1"/>
  <c r="I141" i="1"/>
  <c r="J141" i="1"/>
  <c r="W17" i="1"/>
  <c r="X23" i="24"/>
  <c r="G62" i="11"/>
  <c r="N62" i="11"/>
  <c r="W19" i="24"/>
  <c r="K72" i="1"/>
  <c r="I113" i="1"/>
  <c r="J113" i="1"/>
  <c r="W13" i="1"/>
  <c r="X19" i="24"/>
  <c r="AA8" i="15"/>
  <c r="AB8" i="15"/>
  <c r="G60" i="4"/>
  <c r="E94" i="4"/>
  <c r="E107" i="4"/>
  <c r="E110" i="4"/>
  <c r="H29" i="14"/>
  <c r="H75" i="11"/>
  <c r="J55" i="11"/>
  <c r="E4" i="18"/>
  <c r="O16" i="24"/>
  <c r="D20" i="14"/>
  <c r="O66" i="11"/>
  <c r="D20" i="9"/>
  <c r="N66" i="11"/>
  <c r="C40" i="19"/>
  <c r="G10" i="19"/>
  <c r="E106" i="11"/>
  <c r="F106" i="11"/>
  <c r="C150" i="11"/>
  <c r="D106" i="11"/>
  <c r="B154" i="11"/>
  <c r="N23" i="8"/>
  <c r="B198" i="11"/>
  <c r="E157" i="11"/>
  <c r="C201" i="11"/>
  <c r="D201" i="11"/>
  <c r="D157" i="11"/>
  <c r="U18" i="24"/>
  <c r="J70" i="2"/>
  <c r="J152" i="2"/>
  <c r="G106" i="11"/>
  <c r="N106" i="11"/>
  <c r="E26" i="10"/>
  <c r="C43" i="19"/>
  <c r="L157" i="11"/>
  <c r="M157" i="11"/>
  <c r="I40" i="19"/>
  <c r="G40" i="19"/>
  <c r="K40" i="19"/>
  <c r="E40" i="19"/>
  <c r="L75" i="11"/>
  <c r="O62" i="11"/>
  <c r="O148" i="11"/>
  <c r="N148" i="11"/>
  <c r="D192" i="11"/>
  <c r="E192" i="11"/>
  <c r="D160" i="2"/>
  <c r="C70" i="2"/>
  <c r="D139" i="2"/>
  <c r="E25" i="9"/>
  <c r="C73" i="19"/>
  <c r="E163" i="11"/>
  <c r="M75" i="11"/>
  <c r="C152" i="2"/>
  <c r="H119" i="11"/>
  <c r="J99" i="11"/>
  <c r="E17" i="9"/>
  <c r="C98" i="2"/>
  <c r="N110" i="11"/>
  <c r="O110" i="11"/>
  <c r="E20" i="9"/>
  <c r="C194" i="11"/>
  <c r="E194" i="11"/>
  <c r="E150" i="11"/>
  <c r="F150" i="11"/>
  <c r="D150" i="11"/>
  <c r="E154" i="11"/>
  <c r="D154" i="11"/>
  <c r="C198" i="11"/>
  <c r="E48" i="19"/>
  <c r="K48" i="19"/>
  <c r="G48" i="19"/>
  <c r="I48" i="19"/>
  <c r="J98" i="2"/>
  <c r="D122" i="2"/>
  <c r="C123" i="2"/>
  <c r="G21" i="19"/>
  <c r="J92" i="1"/>
  <c r="W8" i="1"/>
  <c r="J121" i="2"/>
  <c r="N4" i="8"/>
  <c r="I67" i="19"/>
  <c r="E67" i="19"/>
  <c r="K67" i="19"/>
  <c r="G67" i="19"/>
  <c r="E139" i="2"/>
  <c r="F139" i="2"/>
  <c r="G43" i="19"/>
  <c r="I43" i="19"/>
  <c r="E43" i="19"/>
  <c r="K43" i="19"/>
  <c r="O106" i="11"/>
  <c r="K70" i="2"/>
  <c r="X14" i="24"/>
  <c r="G150" i="11"/>
  <c r="N150" i="11"/>
  <c r="D152" i="2"/>
  <c r="H163" i="11"/>
  <c r="M163" i="11"/>
  <c r="F24" i="10"/>
  <c r="C65" i="19"/>
  <c r="G73" i="19"/>
  <c r="I73" i="19"/>
  <c r="E73" i="19"/>
  <c r="K73" i="19"/>
  <c r="K121" i="2"/>
  <c r="M119" i="11"/>
  <c r="D194" i="11"/>
  <c r="B161" i="2"/>
  <c r="D70" i="2"/>
  <c r="O192" i="11"/>
  <c r="N192" i="11"/>
  <c r="F17" i="9"/>
  <c r="D123" i="2"/>
  <c r="E122" i="2"/>
  <c r="F122" i="2"/>
  <c r="K98" i="2"/>
  <c r="O154" i="11"/>
  <c r="F20" i="9"/>
  <c r="N154" i="11"/>
  <c r="D98" i="2"/>
  <c r="L119" i="11"/>
  <c r="K152" i="2"/>
  <c r="C90" i="19"/>
  <c r="M152" i="2"/>
  <c r="L152" i="2"/>
  <c r="M98" i="2"/>
  <c r="L98" i="2"/>
  <c r="G194" i="11"/>
  <c r="O150" i="11"/>
  <c r="F98" i="2"/>
  <c r="E98" i="2"/>
  <c r="C161" i="2"/>
  <c r="F70" i="2"/>
  <c r="E70" i="2"/>
  <c r="C124" i="2"/>
  <c r="I10" i="19"/>
  <c r="L121" i="2"/>
  <c r="M121" i="2"/>
  <c r="F152" i="2"/>
  <c r="E152" i="2"/>
  <c r="C140" i="2"/>
  <c r="G17" i="9"/>
  <c r="I65" i="19"/>
  <c r="K65" i="19"/>
  <c r="G65" i="19"/>
  <c r="E65" i="19"/>
  <c r="L70" i="2"/>
  <c r="D161" i="2"/>
  <c r="M70" i="2"/>
  <c r="H24" i="10"/>
  <c r="C115" i="19"/>
  <c r="C71" i="2"/>
  <c r="D140" i="2"/>
  <c r="C141" i="2"/>
  <c r="J99" i="2"/>
  <c r="C153" i="2"/>
  <c r="C99" i="2"/>
  <c r="G90" i="19"/>
  <c r="E90" i="19"/>
  <c r="I90" i="19"/>
  <c r="K90" i="19"/>
  <c r="J122" i="2"/>
  <c r="J123" i="2"/>
  <c r="D124" i="2"/>
  <c r="I21" i="19"/>
  <c r="J153" i="2"/>
  <c r="K99" i="2"/>
  <c r="J100" i="2"/>
  <c r="K153" i="2"/>
  <c r="J154" i="2"/>
  <c r="D141" i="2"/>
  <c r="F140" i="2"/>
  <c r="E140" i="2"/>
  <c r="K122" i="2"/>
  <c r="D99" i="2"/>
  <c r="C100" i="2"/>
  <c r="D153" i="2"/>
  <c r="C154" i="2"/>
  <c r="D71" i="2"/>
  <c r="C72" i="2"/>
  <c r="E124" i="2"/>
  <c r="F124" i="2"/>
  <c r="I115" i="19"/>
  <c r="G115" i="19"/>
  <c r="E115" i="19"/>
  <c r="K115" i="19"/>
  <c r="K123" i="2"/>
  <c r="M122" i="2"/>
  <c r="L122" i="2"/>
  <c r="D154" i="2"/>
  <c r="E153" i="2"/>
  <c r="F153" i="2"/>
  <c r="K154" i="2"/>
  <c r="L153" i="2"/>
  <c r="M153" i="2"/>
  <c r="C125" i="2"/>
  <c r="D72" i="2"/>
  <c r="E71" i="2"/>
  <c r="F71" i="2"/>
  <c r="D100" i="2"/>
  <c r="E99" i="2"/>
  <c r="C101" i="2"/>
  <c r="F99" i="2"/>
  <c r="C142" i="2"/>
  <c r="K100" i="2"/>
  <c r="L99" i="2"/>
  <c r="M99" i="2"/>
  <c r="C73" i="2"/>
  <c r="D125" i="2"/>
  <c r="J124" i="2"/>
  <c r="K124" i="2"/>
  <c r="J101" i="2"/>
  <c r="D142" i="2"/>
  <c r="K101" i="2"/>
  <c r="E142" i="2"/>
  <c r="F142" i="2"/>
  <c r="D73" i="2"/>
  <c r="E125" i="2"/>
  <c r="F125" i="2"/>
  <c r="C126" i="2"/>
  <c r="C143" i="2"/>
  <c r="L101" i="2"/>
  <c r="M101" i="2"/>
  <c r="E73" i="2"/>
  <c r="F73" i="2"/>
  <c r="D143" i="2"/>
  <c r="C74" i="2"/>
  <c r="J102" i="2"/>
  <c r="D126" i="2"/>
  <c r="E126" i="2"/>
  <c r="F126" i="2"/>
  <c r="D74" i="2"/>
  <c r="E143" i="2"/>
  <c r="F143" i="2"/>
  <c r="K102" i="2"/>
  <c r="M102" i="2"/>
  <c r="L102" i="2"/>
  <c r="F74" i="2"/>
  <c r="E74" i="2"/>
  <c r="C144" i="2"/>
  <c r="C127" i="2"/>
  <c r="J103" i="2"/>
  <c r="D127" i="2"/>
  <c r="C128" i="2"/>
  <c r="C75" i="2"/>
  <c r="D144" i="2"/>
  <c r="D75" i="2"/>
  <c r="D128" i="2"/>
  <c r="E127" i="2"/>
  <c r="F127" i="2"/>
  <c r="K103" i="2"/>
  <c r="F144" i="2"/>
  <c r="E144" i="2"/>
  <c r="C145" i="2"/>
  <c r="F75" i="2"/>
  <c r="E75" i="2"/>
  <c r="M103" i="2"/>
  <c r="L103" i="2"/>
  <c r="C129" i="2"/>
  <c r="J104" i="2"/>
  <c r="D129" i="2"/>
  <c r="D145" i="2"/>
  <c r="C146" i="2"/>
  <c r="C147" i="2"/>
  <c r="C76" i="2"/>
  <c r="D76" i="2"/>
  <c r="C77" i="2"/>
  <c r="K104" i="2"/>
  <c r="J105" i="2"/>
  <c r="D146" i="2"/>
  <c r="D147" i="2"/>
  <c r="F145" i="2"/>
  <c r="E145" i="2"/>
  <c r="F129" i="2"/>
  <c r="E129" i="2"/>
  <c r="C130" i="2"/>
  <c r="D130" i="2"/>
  <c r="K105" i="2"/>
  <c r="M104" i="2"/>
  <c r="L104" i="2"/>
  <c r="J106" i="2"/>
  <c r="K106" i="2"/>
  <c r="L106" i="2"/>
  <c r="M106" i="2"/>
  <c r="J107" i="2"/>
  <c r="K107" i="2"/>
  <c r="M107" i="2"/>
  <c r="L107" i="2"/>
  <c r="L108" i="2"/>
  <c r="J108" i="2"/>
  <c r="K108" i="2"/>
  <c r="M108" i="2"/>
  <c r="S5" i="15"/>
  <c r="T5" i="15"/>
  <c r="T13" i="15"/>
  <c r="L36" i="6"/>
  <c r="X5" i="15"/>
  <c r="AE5" i="15"/>
  <c r="N7" i="4"/>
  <c r="P9" i="4"/>
  <c r="E104" i="4"/>
  <c r="L7" i="4"/>
  <c r="H13" i="4"/>
  <c r="E55" i="4"/>
  <c r="C105" i="4"/>
  <c r="P7" i="4"/>
  <c r="E105" i="4"/>
  <c r="H12" i="8"/>
  <c r="B55" i="11"/>
  <c r="J11" i="6"/>
  <c r="O20" i="6"/>
  <c r="D104" i="4"/>
  <c r="F48" i="6"/>
  <c r="G48" i="6"/>
  <c r="H48" i="6"/>
  <c r="E48" i="6"/>
  <c r="F34" i="6"/>
  <c r="F12" i="8"/>
  <c r="B11" i="11"/>
  <c r="G11" i="6"/>
  <c r="F19" i="6"/>
  <c r="H19" i="6"/>
  <c r="G6" i="6"/>
  <c r="B104" i="4"/>
  <c r="D105" i="4"/>
  <c r="A103" i="4"/>
  <c r="A28" i="14"/>
  <c r="A93" i="4"/>
  <c r="U13" i="24"/>
  <c r="T6" i="1"/>
  <c r="H19" i="14"/>
  <c r="O13" i="24"/>
  <c r="N6" i="1"/>
  <c r="X13" i="24"/>
  <c r="W6" i="1"/>
  <c r="J19" i="14"/>
  <c r="D5" i="7"/>
  <c r="D22" i="7"/>
  <c r="R13" i="24"/>
  <c r="Q6" i="1"/>
  <c r="L13" i="24"/>
  <c r="K6" i="1"/>
  <c r="B19" i="14"/>
  <c r="Z5" i="15"/>
  <c r="AA5" i="15"/>
  <c r="AA13" i="15"/>
  <c r="O36" i="6"/>
  <c r="Q36" i="6"/>
  <c r="L32" i="8"/>
  <c r="B161" i="11"/>
  <c r="R7" i="4"/>
  <c r="U12" i="24"/>
  <c r="D19" i="14"/>
  <c r="D18" i="14"/>
  <c r="G19" i="5"/>
  <c r="E4" i="10"/>
  <c r="N26" i="1"/>
  <c r="O29" i="24"/>
  <c r="O12" i="24"/>
  <c r="F5" i="8"/>
  <c r="H5" i="8"/>
  <c r="J5" i="8"/>
  <c r="D23" i="7"/>
  <c r="D24" i="7"/>
  <c r="F19" i="14"/>
  <c r="R12" i="24"/>
  <c r="D8" i="7"/>
  <c r="H161" i="11"/>
  <c r="AB5" i="15"/>
  <c r="T7" i="4"/>
  <c r="F10" i="7"/>
  <c r="D83" i="11"/>
  <c r="G83" i="11"/>
  <c r="F51" i="11"/>
  <c r="D26" i="7"/>
  <c r="D14" i="8"/>
  <c r="D10" i="8"/>
  <c r="D15" i="8"/>
  <c r="M83" i="11"/>
  <c r="L83" i="11"/>
  <c r="C14" i="11"/>
  <c r="C27" i="9"/>
  <c r="D32" i="10"/>
  <c r="C25" i="19"/>
  <c r="E25" i="19"/>
  <c r="D36" i="8"/>
  <c r="E14" i="8"/>
  <c r="E3" i="8"/>
  <c r="E5" i="8"/>
  <c r="E4" i="8"/>
  <c r="E12" i="8"/>
  <c r="E15" i="8"/>
  <c r="E8" i="8"/>
  <c r="L31" i="11"/>
  <c r="V48" i="6"/>
  <c r="U48" i="6"/>
  <c r="O34" i="6"/>
  <c r="P6" i="3"/>
  <c r="G17" i="3"/>
  <c r="T11" i="4"/>
  <c r="T6" i="3"/>
  <c r="T12" i="4"/>
  <c r="D13" i="4"/>
  <c r="D55" i="4"/>
  <c r="B28" i="14"/>
  <c r="H6" i="3"/>
  <c r="P48" i="6"/>
  <c r="O48" i="6"/>
  <c r="L34" i="6"/>
  <c r="Q48" i="6"/>
  <c r="R48" i="6"/>
  <c r="K48" i="6"/>
  <c r="M48" i="6"/>
  <c r="L48" i="6"/>
  <c r="J48" i="6"/>
  <c r="I34" i="6"/>
  <c r="L163" i="11"/>
  <c r="C205" i="11"/>
  <c r="P15" i="8"/>
  <c r="E7" i="8"/>
  <c r="E6" i="8"/>
  <c r="E10" i="8"/>
  <c r="E9" i="8"/>
  <c r="E13" i="8"/>
  <c r="E11" i="8"/>
  <c r="E11" i="11"/>
  <c r="D11" i="11"/>
  <c r="C55" i="11"/>
  <c r="C103" i="4"/>
  <c r="C106" i="4"/>
  <c r="D28" i="14"/>
  <c r="E57" i="4"/>
  <c r="AG5" i="15"/>
  <c r="AH5" i="15"/>
  <c r="L5" i="8"/>
  <c r="D55" i="11"/>
  <c r="C99" i="11"/>
  <c r="E55" i="11"/>
  <c r="E11" i="10"/>
  <c r="N36" i="6"/>
  <c r="J32" i="8"/>
  <c r="B117" i="11"/>
  <c r="H117" i="11"/>
  <c r="J109" i="2"/>
  <c r="K109" i="2"/>
  <c r="F130" i="2"/>
  <c r="E130" i="2"/>
  <c r="C93" i="19"/>
  <c r="G26" i="10"/>
  <c r="F194" i="11"/>
  <c r="N194" i="11"/>
  <c r="E198" i="11"/>
  <c r="D198" i="11"/>
  <c r="F121" i="4"/>
  <c r="X18" i="24"/>
  <c r="AI8" i="15"/>
  <c r="AH8" i="15"/>
  <c r="F113" i="4"/>
  <c r="R20" i="24"/>
  <c r="C91" i="19"/>
  <c r="G24" i="10"/>
  <c r="X12" i="24"/>
  <c r="L12" i="24"/>
  <c r="D57" i="4"/>
  <c r="T48" i="6"/>
  <c r="W48" i="6"/>
  <c r="U5" i="15"/>
  <c r="U13" i="15"/>
  <c r="D77" i="2"/>
  <c r="F76" i="2"/>
  <c r="E76" i="2"/>
  <c r="L124" i="2"/>
  <c r="M124" i="2"/>
  <c r="D101" i="2"/>
  <c r="C68" i="19"/>
  <c r="F26" i="10"/>
  <c r="G58" i="19"/>
  <c r="I58" i="19"/>
  <c r="E58" i="19"/>
  <c r="K58" i="19"/>
  <c r="J155" i="1"/>
  <c r="W19" i="1"/>
  <c r="X25" i="24"/>
  <c r="J120" i="1"/>
  <c r="W14" i="1"/>
  <c r="X20" i="24"/>
  <c r="U19" i="24"/>
  <c r="T10" i="1"/>
  <c r="J29" i="14"/>
  <c r="F107" i="4"/>
  <c r="F110" i="4"/>
  <c r="H60" i="4"/>
  <c r="F94" i="4"/>
  <c r="T53" i="4"/>
  <c r="H67" i="4"/>
  <c r="F64" i="3"/>
  <c r="T33" i="4"/>
  <c r="H61" i="4"/>
  <c r="F112" i="4"/>
  <c r="D26" i="10"/>
  <c r="C18" i="19"/>
  <c r="AH7" i="15"/>
  <c r="AI7" i="15"/>
  <c r="O19" i="11"/>
  <c r="P53" i="4"/>
  <c r="G67" i="4"/>
  <c r="E120" i="4"/>
  <c r="L53" i="4"/>
  <c r="F67" i="4"/>
  <c r="J71" i="2"/>
  <c r="J143" i="11"/>
  <c r="E201" i="11"/>
  <c r="M201" i="11"/>
  <c r="O18" i="11"/>
  <c r="G66" i="19"/>
  <c r="I66" i="19"/>
  <c r="E66" i="19"/>
  <c r="K66" i="19"/>
  <c r="AH12" i="15"/>
  <c r="AI12" i="15"/>
  <c r="D162" i="11"/>
  <c r="E162" i="11"/>
  <c r="C206" i="11"/>
  <c r="D206" i="11"/>
  <c r="E69" i="4"/>
  <c r="C97" i="4"/>
  <c r="C119" i="4"/>
  <c r="C122" i="4"/>
  <c r="D32" i="14"/>
  <c r="AB6" i="15"/>
  <c r="AB13" i="15"/>
  <c r="J125" i="1"/>
  <c r="Q15" i="1"/>
  <c r="R21" i="24"/>
  <c r="I20" i="6"/>
  <c r="K20" i="6"/>
  <c r="J7" i="6"/>
  <c r="C10" i="11"/>
  <c r="D38" i="8"/>
  <c r="F26" i="8"/>
  <c r="B24" i="11"/>
  <c r="E30" i="2"/>
  <c r="R27" i="1"/>
  <c r="R26" i="1"/>
  <c r="S12" i="24"/>
  <c r="M12" i="24"/>
  <c r="M137" i="2"/>
  <c r="L137" i="2"/>
  <c r="O61" i="11"/>
  <c r="D18" i="9"/>
  <c r="N61" i="11"/>
  <c r="I22" i="6"/>
  <c r="K22" i="6"/>
  <c r="J9" i="6"/>
  <c r="C8" i="11"/>
  <c r="F8" i="8"/>
  <c r="D25" i="21"/>
  <c r="D40" i="21"/>
  <c r="J3" i="21"/>
  <c r="L10" i="1"/>
  <c r="M16" i="24"/>
  <c r="M14" i="24"/>
  <c r="F22" i="6"/>
  <c r="H22" i="6"/>
  <c r="G9" i="6"/>
  <c r="G7" i="15"/>
  <c r="F7" i="15"/>
  <c r="F5" i="15"/>
  <c r="G5" i="15"/>
  <c r="G13" i="15"/>
  <c r="E26" i="8"/>
  <c r="E20" i="8"/>
  <c r="E30" i="8"/>
  <c r="E36" i="8"/>
  <c r="E21" i="8"/>
  <c r="E31" i="8"/>
  <c r="E24" i="8"/>
  <c r="E16" i="8"/>
  <c r="E32" i="8"/>
  <c r="E28" i="8"/>
  <c r="E109" i="1"/>
  <c r="J109" i="1"/>
  <c r="K13" i="1"/>
  <c r="E151" i="1"/>
  <c r="J151" i="1"/>
  <c r="K19" i="1"/>
  <c r="L25" i="24"/>
  <c r="J25" i="21"/>
  <c r="D43" i="4"/>
  <c r="D64" i="4"/>
  <c r="T9" i="4"/>
  <c r="F104" i="4"/>
  <c r="R8" i="4"/>
  <c r="G12" i="15"/>
  <c r="F12" i="15"/>
  <c r="G41" i="4"/>
  <c r="H41" i="4"/>
  <c r="G39" i="4"/>
  <c r="H39" i="4"/>
  <c r="C116" i="4"/>
  <c r="G37" i="4"/>
  <c r="H37" i="4"/>
  <c r="H43" i="4"/>
  <c r="E64" i="4"/>
  <c r="J35" i="4"/>
  <c r="G25" i="4"/>
  <c r="H25" i="4"/>
  <c r="J10" i="4"/>
  <c r="D40" i="11"/>
  <c r="B62" i="14"/>
  <c r="C51" i="6"/>
  <c r="H13" i="14"/>
  <c r="J13" i="14"/>
  <c r="H10" i="14"/>
  <c r="J10" i="14"/>
  <c r="H9" i="14"/>
  <c r="M24" i="6"/>
  <c r="O11" i="6"/>
  <c r="O9" i="6"/>
  <c r="M22" i="6"/>
  <c r="N22" i="6"/>
  <c r="M9" i="6"/>
  <c r="G42" i="4"/>
  <c r="H42" i="4"/>
  <c r="L5" i="15"/>
  <c r="J12" i="14"/>
  <c r="M31" i="6"/>
  <c r="D27" i="18"/>
  <c r="O12" i="6"/>
  <c r="O10" i="6"/>
  <c r="M23" i="6"/>
  <c r="D25" i="18"/>
  <c r="P20" i="6"/>
  <c r="R7" i="6"/>
  <c r="S20" i="6"/>
  <c r="F24" i="18"/>
  <c r="E97" i="11"/>
  <c r="C16" i="11"/>
  <c r="G22" i="3"/>
  <c r="G25" i="3"/>
  <c r="B103" i="4"/>
  <c r="B106" i="4"/>
  <c r="F105" i="4"/>
  <c r="H17" i="14"/>
  <c r="O35" i="6"/>
  <c r="E5" i="18"/>
  <c r="C115" i="4"/>
  <c r="E66" i="4"/>
  <c r="C96" i="4"/>
  <c r="D31" i="14"/>
  <c r="D16" i="11"/>
  <c r="E16" i="11"/>
  <c r="R12" i="6"/>
  <c r="S31" i="6"/>
  <c r="F27" i="18"/>
  <c r="P31" i="6"/>
  <c r="E27" i="18"/>
  <c r="R9" i="6"/>
  <c r="S22" i="6"/>
  <c r="P22" i="6"/>
  <c r="Q22" i="6"/>
  <c r="P9" i="6"/>
  <c r="N10" i="4"/>
  <c r="J13" i="4"/>
  <c r="L10" i="4"/>
  <c r="L13" i="4"/>
  <c r="F55" i="4"/>
  <c r="N35" i="4"/>
  <c r="L35" i="4"/>
  <c r="J43" i="4"/>
  <c r="T8" i="4"/>
  <c r="D66" i="4"/>
  <c r="B96" i="4"/>
  <c r="B31" i="14"/>
  <c r="B27" i="14"/>
  <c r="B115" i="4"/>
  <c r="B118" i="4"/>
  <c r="D70" i="4"/>
  <c r="B17" i="14"/>
  <c r="F35" i="6"/>
  <c r="B5" i="18"/>
  <c r="E3" i="21"/>
  <c r="E6" i="21"/>
  <c r="E14" i="21"/>
  <c r="E25" i="21"/>
  <c r="E28" i="21"/>
  <c r="E32" i="21"/>
  <c r="E36" i="21"/>
  <c r="E7" i="21"/>
  <c r="E12" i="21"/>
  <c r="E18" i="21"/>
  <c r="E31" i="21"/>
  <c r="E5" i="21"/>
  <c r="E19" i="21"/>
  <c r="E20" i="21"/>
  <c r="E37" i="21"/>
  <c r="E17" i="21"/>
  <c r="E38" i="21"/>
  <c r="E23" i="21"/>
  <c r="E13" i="21"/>
  <c r="E35" i="21"/>
  <c r="E4" i="21"/>
  <c r="E8" i="21"/>
  <c r="E22" i="21"/>
  <c r="E26" i="21"/>
  <c r="E30" i="21"/>
  <c r="E34" i="21"/>
  <c r="E39" i="21"/>
  <c r="E9" i="21"/>
  <c r="E16" i="21"/>
  <c r="E24" i="21"/>
  <c r="E40" i="21"/>
  <c r="E10" i="21"/>
  <c r="E21" i="21"/>
  <c r="E33" i="21"/>
  <c r="E11" i="21"/>
  <c r="E27" i="21"/>
  <c r="E15" i="21"/>
  <c r="E29" i="21"/>
  <c r="C45" i="11"/>
  <c r="C41" i="19"/>
  <c r="E24" i="10"/>
  <c r="J138" i="2"/>
  <c r="L26" i="1"/>
  <c r="H21" i="7"/>
  <c r="S29" i="24"/>
  <c r="H4" i="7"/>
  <c r="H26" i="8"/>
  <c r="B68" i="11"/>
  <c r="F30" i="2"/>
  <c r="M162" i="11"/>
  <c r="L162" i="11"/>
  <c r="F69" i="4"/>
  <c r="D97" i="4"/>
  <c r="D119" i="4"/>
  <c r="D122" i="4"/>
  <c r="F32" i="14"/>
  <c r="G69" i="4"/>
  <c r="E97" i="4"/>
  <c r="E119" i="4"/>
  <c r="E122" i="4"/>
  <c r="H32" i="14"/>
  <c r="E206" i="11"/>
  <c r="H16" i="10"/>
  <c r="G18" i="19"/>
  <c r="K18" i="19"/>
  <c r="I18" i="19"/>
  <c r="E18" i="19"/>
  <c r="H20" i="14"/>
  <c r="H18" i="14"/>
  <c r="U16" i="24"/>
  <c r="T26" i="1"/>
  <c r="U29" i="24"/>
  <c r="J125" i="2"/>
  <c r="L35" i="6"/>
  <c r="F17" i="14"/>
  <c r="D5" i="18"/>
  <c r="B123" i="4"/>
  <c r="F23" i="6"/>
  <c r="G91" i="19"/>
  <c r="K91" i="19"/>
  <c r="I91" i="19"/>
  <c r="E91" i="19"/>
  <c r="Q10" i="1"/>
  <c r="W10" i="1"/>
  <c r="L201" i="11"/>
  <c r="K110" i="2"/>
  <c r="M109" i="2"/>
  <c r="C161" i="11"/>
  <c r="M55" i="11"/>
  <c r="D5" i="9"/>
  <c r="L55" i="11"/>
  <c r="N5" i="8"/>
  <c r="AI5" i="15"/>
  <c r="AI13" i="15"/>
  <c r="C93" i="4"/>
  <c r="D11" i="10"/>
  <c r="D26" i="18"/>
  <c r="N24" i="6"/>
  <c r="H51" i="6"/>
  <c r="G51" i="6"/>
  <c r="E51" i="6"/>
  <c r="F51" i="6"/>
  <c r="E24" i="18"/>
  <c r="Q20" i="6"/>
  <c r="P7" i="6"/>
  <c r="P23" i="6"/>
  <c r="E25" i="18"/>
  <c r="R10" i="6"/>
  <c r="S23" i="6"/>
  <c r="F25" i="18"/>
  <c r="M5" i="15"/>
  <c r="M13" i="15"/>
  <c r="I36" i="6"/>
  <c r="N5" i="15"/>
  <c r="N13" i="15"/>
  <c r="R11" i="6"/>
  <c r="S24" i="6"/>
  <c r="F26" i="18"/>
  <c r="P24" i="6"/>
  <c r="J9" i="14"/>
  <c r="J5" i="14"/>
  <c r="H5" i="14"/>
  <c r="L40" i="11"/>
  <c r="M40" i="11"/>
  <c r="H33" i="4"/>
  <c r="E61" i="4"/>
  <c r="C112" i="4"/>
  <c r="I19" i="6"/>
  <c r="K19" i="6"/>
  <c r="C117" i="4"/>
  <c r="L19" i="24"/>
  <c r="K10" i="1"/>
  <c r="F13" i="15"/>
  <c r="F36" i="6"/>
  <c r="B8" i="11"/>
  <c r="H8" i="8"/>
  <c r="L27" i="1"/>
  <c r="S30" i="24"/>
  <c r="S49" i="6"/>
  <c r="C68" i="11"/>
  <c r="E24" i="11"/>
  <c r="D24" i="11"/>
  <c r="H6" i="8"/>
  <c r="G16" i="10"/>
  <c r="J72" i="2"/>
  <c r="B162" i="2"/>
  <c r="K71" i="2"/>
  <c r="F111" i="4"/>
  <c r="F114" i="4"/>
  <c r="H63" i="4"/>
  <c r="F95" i="4"/>
  <c r="J30" i="14"/>
  <c r="F119" i="4"/>
  <c r="F122" i="4"/>
  <c r="H69" i="4"/>
  <c r="F97" i="4"/>
  <c r="J32" i="14"/>
  <c r="G68" i="19"/>
  <c r="I68" i="19"/>
  <c r="E68" i="19"/>
  <c r="K68" i="19"/>
  <c r="F101" i="2"/>
  <c r="E101" i="2"/>
  <c r="C78" i="2"/>
  <c r="D71" i="4"/>
  <c r="B93" i="4"/>
  <c r="B98" i="4"/>
  <c r="C50" i="6"/>
  <c r="T20" i="6"/>
  <c r="S7" i="6"/>
  <c r="O198" i="11"/>
  <c r="G20" i="9"/>
  <c r="N198" i="11"/>
  <c r="O194" i="11"/>
  <c r="K93" i="19"/>
  <c r="G93" i="19"/>
  <c r="I93" i="19"/>
  <c r="E93" i="19"/>
  <c r="C131" i="2"/>
  <c r="L109" i="2"/>
  <c r="J110" i="2"/>
  <c r="AH13" i="15"/>
  <c r="R36" i="6"/>
  <c r="M11" i="11"/>
  <c r="C5" i="9"/>
  <c r="L11" i="11"/>
  <c r="O5" i="5"/>
  <c r="E207" i="11"/>
  <c r="F4" i="18"/>
  <c r="F60" i="3"/>
  <c r="F65" i="3"/>
  <c r="X48" i="6"/>
  <c r="G30" i="3"/>
  <c r="R24" i="6"/>
  <c r="T24" i="6"/>
  <c r="S11" i="6"/>
  <c r="H26" i="10"/>
  <c r="C118" i="19"/>
  <c r="N12" i="8"/>
  <c r="B187" i="11"/>
  <c r="L71" i="2"/>
  <c r="C162" i="2"/>
  <c r="K72" i="2"/>
  <c r="M71" i="2"/>
  <c r="J6" i="8"/>
  <c r="B50" i="11"/>
  <c r="T49" i="6"/>
  <c r="I49" i="6"/>
  <c r="M30" i="24"/>
  <c r="B52" i="11"/>
  <c r="J8" i="8"/>
  <c r="H29" i="11"/>
  <c r="H36" i="6"/>
  <c r="F32" i="8"/>
  <c r="B29" i="11"/>
  <c r="J6" i="6"/>
  <c r="D30" i="14"/>
  <c r="D27" i="14"/>
  <c r="E63" i="4"/>
  <c r="C111" i="4"/>
  <c r="C114" i="4"/>
  <c r="E70" i="4"/>
  <c r="D216" i="11"/>
  <c r="F62" i="14"/>
  <c r="X51" i="6"/>
  <c r="P15" i="5"/>
  <c r="K36" i="6"/>
  <c r="H32" i="8"/>
  <c r="B73" i="11"/>
  <c r="H73" i="11"/>
  <c r="C29" i="19"/>
  <c r="E161" i="11"/>
  <c r="D161" i="11"/>
  <c r="F20" i="14"/>
  <c r="F18" i="14"/>
  <c r="R16" i="24"/>
  <c r="Q26" i="1"/>
  <c r="R29" i="24"/>
  <c r="F21" i="6"/>
  <c r="H21" i="6"/>
  <c r="H23" i="6"/>
  <c r="G10" i="6"/>
  <c r="N35" i="6"/>
  <c r="J126" i="11"/>
  <c r="K125" i="2"/>
  <c r="M19" i="5"/>
  <c r="G4" i="10"/>
  <c r="H10" i="7"/>
  <c r="D171" i="11"/>
  <c r="F25" i="9"/>
  <c r="C98" i="19"/>
  <c r="E68" i="11"/>
  <c r="C112" i="11"/>
  <c r="D68" i="11"/>
  <c r="F4" i="7"/>
  <c r="F21" i="7"/>
  <c r="J21" i="7"/>
  <c r="M29" i="24"/>
  <c r="K138" i="2"/>
  <c r="H35" i="6"/>
  <c r="J38" i="11"/>
  <c r="F31" i="6"/>
  <c r="H31" i="6"/>
  <c r="D12" i="5"/>
  <c r="R35" i="4"/>
  <c r="N43" i="4"/>
  <c r="P35" i="4"/>
  <c r="M206" i="11"/>
  <c r="C118" i="4"/>
  <c r="Q35" i="6"/>
  <c r="J170" i="11"/>
  <c r="C4" i="19"/>
  <c r="T36" i="6"/>
  <c r="N32" i="8"/>
  <c r="B205" i="11"/>
  <c r="H205" i="11"/>
  <c r="J111" i="2"/>
  <c r="D131" i="2"/>
  <c r="F25" i="6"/>
  <c r="F50" i="6"/>
  <c r="F52" i="6"/>
  <c r="H50" i="6"/>
  <c r="H52" i="6"/>
  <c r="E50" i="6"/>
  <c r="E52" i="6"/>
  <c r="G50" i="6"/>
  <c r="G52" i="6"/>
  <c r="C52" i="6"/>
  <c r="D78" i="2"/>
  <c r="C102" i="2"/>
  <c r="K10" i="19"/>
  <c r="B163" i="2"/>
  <c r="B22" i="14"/>
  <c r="B21" i="14"/>
  <c r="N24" i="11"/>
  <c r="O24" i="11"/>
  <c r="C24" i="9"/>
  <c r="C22" i="19"/>
  <c r="E8" i="11"/>
  <c r="C52" i="11"/>
  <c r="D8" i="11"/>
  <c r="F7" i="8"/>
  <c r="L16" i="24"/>
  <c r="B20" i="14"/>
  <c r="B18" i="14"/>
  <c r="K26" i="1"/>
  <c r="L29" i="24"/>
  <c r="C10" i="9"/>
  <c r="C8" i="19"/>
  <c r="E62" i="14"/>
  <c r="S51" i="6"/>
  <c r="M15" i="5"/>
  <c r="D172" i="11"/>
  <c r="E26" i="18"/>
  <c r="Q24" i="6"/>
  <c r="I35" i="6"/>
  <c r="D17" i="14"/>
  <c r="C5" i="18"/>
  <c r="J12" i="8"/>
  <c r="B99" i="11"/>
  <c r="M11" i="6"/>
  <c r="R35" i="6"/>
  <c r="J17" i="14"/>
  <c r="F5" i="18"/>
  <c r="J20" i="14"/>
  <c r="J18" i="14"/>
  <c r="X16" i="24"/>
  <c r="W26" i="1"/>
  <c r="X29" i="24"/>
  <c r="J17" i="5"/>
  <c r="D126" i="11"/>
  <c r="J26" i="8"/>
  <c r="B112" i="11"/>
  <c r="G30" i="2"/>
  <c r="G41" i="19"/>
  <c r="I41" i="19"/>
  <c r="E41" i="19"/>
  <c r="K41" i="19"/>
  <c r="D38" i="11"/>
  <c r="D17" i="5"/>
  <c r="B24" i="14"/>
  <c r="R22" i="6"/>
  <c r="T22" i="6"/>
  <c r="S9" i="6"/>
  <c r="L43" i="4"/>
  <c r="F64" i="4"/>
  <c r="D116" i="4"/>
  <c r="L19" i="6"/>
  <c r="N19" i="6"/>
  <c r="F70" i="4"/>
  <c r="F28" i="14"/>
  <c r="D103" i="4"/>
  <c r="D106" i="4"/>
  <c r="F57" i="4"/>
  <c r="R10" i="4"/>
  <c r="P10" i="4"/>
  <c r="P13" i="4"/>
  <c r="G55" i="4"/>
  <c r="N13" i="4"/>
  <c r="O16" i="11"/>
  <c r="N16" i="11"/>
  <c r="L206" i="11"/>
  <c r="D170" i="11"/>
  <c r="M17" i="5"/>
  <c r="Y48" i="6"/>
  <c r="Z48" i="6"/>
  <c r="AB48" i="6"/>
  <c r="R34" i="6"/>
  <c r="AA48" i="6"/>
  <c r="H207" i="11"/>
  <c r="J187" i="11"/>
  <c r="L207" i="11"/>
  <c r="M207" i="11"/>
  <c r="L31" i="6"/>
  <c r="N31" i="6"/>
  <c r="J12" i="5"/>
  <c r="B33" i="14"/>
  <c r="B34" i="14"/>
  <c r="B4" i="20"/>
  <c r="L38" i="11"/>
  <c r="M38" i="11"/>
  <c r="C7" i="9"/>
  <c r="C6" i="19"/>
  <c r="C156" i="11"/>
  <c r="E112" i="11"/>
  <c r="D112" i="11"/>
  <c r="P19" i="5"/>
  <c r="H4" i="10"/>
  <c r="D215" i="11"/>
  <c r="I10" i="7"/>
  <c r="J214" i="11"/>
  <c r="T35" i="6"/>
  <c r="E99" i="11"/>
  <c r="D99" i="11"/>
  <c r="C143" i="11"/>
  <c r="D82" i="11"/>
  <c r="G17" i="5"/>
  <c r="L12" i="8"/>
  <c r="B143" i="11"/>
  <c r="P11" i="6"/>
  <c r="K8" i="19"/>
  <c r="G8" i="19"/>
  <c r="I8" i="19"/>
  <c r="E8" i="19"/>
  <c r="D39" i="11"/>
  <c r="E10" i="7"/>
  <c r="D19" i="5"/>
  <c r="D4" i="10"/>
  <c r="H7" i="8"/>
  <c r="B7" i="11"/>
  <c r="F3" i="8"/>
  <c r="G22" i="19"/>
  <c r="K22" i="19"/>
  <c r="E22" i="19"/>
  <c r="I22" i="19"/>
  <c r="D21" i="5"/>
  <c r="D41" i="11"/>
  <c r="K111" i="2"/>
  <c r="G25" i="9"/>
  <c r="C123" i="19"/>
  <c r="F29" i="8"/>
  <c r="G12" i="6"/>
  <c r="L138" i="2"/>
  <c r="M138" i="2"/>
  <c r="N68" i="11"/>
  <c r="O68" i="11"/>
  <c r="D24" i="9"/>
  <c r="C47" i="19"/>
  <c r="I98" i="19"/>
  <c r="K98" i="19"/>
  <c r="G98" i="19"/>
  <c r="E98" i="19"/>
  <c r="D127" i="11"/>
  <c r="J19" i="5"/>
  <c r="F4" i="10"/>
  <c r="G10" i="7"/>
  <c r="L161" i="11"/>
  <c r="M161" i="11"/>
  <c r="F9" i="9"/>
  <c r="C82" i="19"/>
  <c r="AA51" i="6"/>
  <c r="AB51" i="6"/>
  <c r="Z51" i="6"/>
  <c r="Y51" i="6"/>
  <c r="I31" i="6"/>
  <c r="K31" i="6"/>
  <c r="G12" i="5"/>
  <c r="C95" i="4"/>
  <c r="C98" i="4"/>
  <c r="I50" i="6"/>
  <c r="E71" i="4"/>
  <c r="C73" i="11"/>
  <c r="D29" i="11"/>
  <c r="E29" i="11"/>
  <c r="B96" i="11"/>
  <c r="L8" i="8"/>
  <c r="E50" i="11"/>
  <c r="D50" i="11"/>
  <c r="C94" i="11"/>
  <c r="C163" i="2"/>
  <c r="K21" i="19"/>
  <c r="M170" i="11"/>
  <c r="L170" i="11"/>
  <c r="T10" i="4"/>
  <c r="T13" i="4"/>
  <c r="H55" i="4"/>
  <c r="R13" i="4"/>
  <c r="C17" i="9"/>
  <c r="G57" i="4"/>
  <c r="E103" i="4"/>
  <c r="E106" i="4"/>
  <c r="H28" i="14"/>
  <c r="D93" i="4"/>
  <c r="M6" i="6"/>
  <c r="D115" i="4"/>
  <c r="D118" i="4"/>
  <c r="D123" i="4"/>
  <c r="L23" i="6"/>
  <c r="F66" i="4"/>
  <c r="D96" i="4"/>
  <c r="F31" i="14"/>
  <c r="F27" i="14"/>
  <c r="L26" i="8"/>
  <c r="B156" i="11"/>
  <c r="H30" i="2"/>
  <c r="N26" i="8"/>
  <c r="B200" i="11"/>
  <c r="M126" i="11"/>
  <c r="E7" i="9"/>
  <c r="C56" i="19"/>
  <c r="L126" i="11"/>
  <c r="D214" i="11"/>
  <c r="P17" i="5"/>
  <c r="K35" i="6"/>
  <c r="J82" i="11"/>
  <c r="M172" i="11"/>
  <c r="F10" i="9"/>
  <c r="C83" i="19"/>
  <c r="L172" i="11"/>
  <c r="V51" i="6"/>
  <c r="T51" i="6"/>
  <c r="W51" i="6"/>
  <c r="U51" i="6"/>
  <c r="O8" i="11"/>
  <c r="N8" i="11"/>
  <c r="D102" i="2"/>
  <c r="E78" i="2"/>
  <c r="F78" i="2"/>
  <c r="H34" i="6"/>
  <c r="H25" i="6"/>
  <c r="F131" i="2"/>
  <c r="E131" i="2"/>
  <c r="E205" i="11"/>
  <c r="D205" i="11"/>
  <c r="G4" i="19"/>
  <c r="I4" i="19"/>
  <c r="K4" i="19"/>
  <c r="E4" i="19"/>
  <c r="P43" i="4"/>
  <c r="G64" i="4"/>
  <c r="E116" i="4"/>
  <c r="O19" i="6"/>
  <c r="Q19" i="6"/>
  <c r="R43" i="4"/>
  <c r="T35" i="4"/>
  <c r="J4" i="7"/>
  <c r="G171" i="11"/>
  <c r="M171" i="11"/>
  <c r="L171" i="11"/>
  <c r="L125" i="2"/>
  <c r="M125" i="2"/>
  <c r="G8" i="6"/>
  <c r="C6" i="5"/>
  <c r="H28" i="6"/>
  <c r="H41" i="6"/>
  <c r="F11" i="8"/>
  <c r="E29" i="19"/>
  <c r="K29" i="19"/>
  <c r="G29" i="19"/>
  <c r="I29" i="19"/>
  <c r="C117" i="11"/>
  <c r="E73" i="11"/>
  <c r="D73" i="11"/>
  <c r="M216" i="11"/>
  <c r="L216" i="11"/>
  <c r="C123" i="4"/>
  <c r="I23" i="6"/>
  <c r="E52" i="11"/>
  <c r="C96" i="11"/>
  <c r="D52" i="11"/>
  <c r="J49" i="6"/>
  <c r="I52" i="6"/>
  <c r="I25" i="6"/>
  <c r="L6" i="8"/>
  <c r="B94" i="11"/>
  <c r="J73" i="2"/>
  <c r="D162" i="2"/>
  <c r="F25" i="8"/>
  <c r="G118" i="19"/>
  <c r="I118" i="19"/>
  <c r="E118" i="19"/>
  <c r="K118" i="19"/>
  <c r="N23" i="6"/>
  <c r="M10" i="6"/>
  <c r="L21" i="6"/>
  <c r="N21" i="6"/>
  <c r="B23" i="11"/>
  <c r="F24" i="8"/>
  <c r="D94" i="11"/>
  <c r="C138" i="11"/>
  <c r="E94" i="11"/>
  <c r="M73" i="11"/>
  <c r="L73" i="11"/>
  <c r="D117" i="11"/>
  <c r="E117" i="11"/>
  <c r="B10" i="11"/>
  <c r="E32" i="11"/>
  <c r="D4" i="5"/>
  <c r="D13" i="5"/>
  <c r="D37" i="11"/>
  <c r="F116" i="4"/>
  <c r="T43" i="4"/>
  <c r="H64" i="4"/>
  <c r="R19" i="6"/>
  <c r="T19" i="6"/>
  <c r="P6" i="6"/>
  <c r="G66" i="4"/>
  <c r="E96" i="4"/>
  <c r="H31" i="14"/>
  <c r="E115" i="4"/>
  <c r="E118" i="4"/>
  <c r="M205" i="11"/>
  <c r="L205" i="11"/>
  <c r="C132" i="2"/>
  <c r="C79" i="2"/>
  <c r="E102" i="2"/>
  <c r="F102" i="2"/>
  <c r="D21" i="10"/>
  <c r="C14" i="9"/>
  <c r="G83" i="19"/>
  <c r="K83" i="19"/>
  <c r="I83" i="19"/>
  <c r="E83" i="19"/>
  <c r="L214" i="11"/>
  <c r="M214" i="11"/>
  <c r="G7" i="9"/>
  <c r="C106" i="19"/>
  <c r="I56" i="19"/>
  <c r="G56" i="19"/>
  <c r="K56" i="19"/>
  <c r="E56" i="19"/>
  <c r="C200" i="11"/>
  <c r="E156" i="11"/>
  <c r="D156" i="11"/>
  <c r="F71" i="4"/>
  <c r="H27" i="14"/>
  <c r="G71" i="4"/>
  <c r="E93" i="4"/>
  <c r="E98" i="4"/>
  <c r="S50" i="6"/>
  <c r="C23" i="9"/>
  <c r="E7" i="7"/>
  <c r="N50" i="11"/>
  <c r="O50" i="11"/>
  <c r="C140" i="11"/>
  <c r="E96" i="11"/>
  <c r="D96" i="11"/>
  <c r="L29" i="11"/>
  <c r="M29" i="11"/>
  <c r="E82" i="19"/>
  <c r="G82" i="19"/>
  <c r="I82" i="19"/>
  <c r="K82" i="19"/>
  <c r="G127" i="11"/>
  <c r="F95" i="11"/>
  <c r="E47" i="19"/>
  <c r="G47" i="19"/>
  <c r="K47" i="19"/>
  <c r="I47" i="19"/>
  <c r="L41" i="11"/>
  <c r="M41" i="11"/>
  <c r="J7" i="8"/>
  <c r="B51" i="11"/>
  <c r="H3" i="8"/>
  <c r="J10" i="7"/>
  <c r="M82" i="11"/>
  <c r="L82" i="11"/>
  <c r="M99" i="11"/>
  <c r="E5" i="9"/>
  <c r="L99" i="11"/>
  <c r="K6" i="19"/>
  <c r="E6" i="19"/>
  <c r="I6" i="19"/>
  <c r="G6" i="19"/>
  <c r="B164" i="2"/>
  <c r="K73" i="2"/>
  <c r="N6" i="8"/>
  <c r="B138" i="11"/>
  <c r="O52" i="11"/>
  <c r="N52" i="11"/>
  <c r="K23" i="6"/>
  <c r="J10" i="6"/>
  <c r="I21" i="6"/>
  <c r="K21" i="6"/>
  <c r="G10" i="9"/>
  <c r="C108" i="19"/>
  <c r="J126" i="2"/>
  <c r="B12" i="11"/>
  <c r="F13" i="8"/>
  <c r="C15" i="9"/>
  <c r="C13" i="19"/>
  <c r="D22" i="10"/>
  <c r="D200" i="11"/>
  <c r="E200" i="11"/>
  <c r="D98" i="4"/>
  <c r="N50" i="6"/>
  <c r="G70" i="4"/>
  <c r="E123" i="4"/>
  <c r="O23" i="6"/>
  <c r="C15" i="19"/>
  <c r="D24" i="10"/>
  <c r="H70" i="4"/>
  <c r="J28" i="14"/>
  <c r="H57" i="4"/>
  <c r="F103" i="4"/>
  <c r="F106" i="4"/>
  <c r="F7" i="9"/>
  <c r="C81" i="19"/>
  <c r="B140" i="11"/>
  <c r="N8" i="8"/>
  <c r="B184" i="11"/>
  <c r="L50" i="6"/>
  <c r="L52" i="6"/>
  <c r="K50" i="6"/>
  <c r="K52" i="6"/>
  <c r="J50" i="6"/>
  <c r="J52" i="6"/>
  <c r="M50" i="6"/>
  <c r="M52" i="6"/>
  <c r="H29" i="8"/>
  <c r="J12" i="6"/>
  <c r="J139" i="2"/>
  <c r="B26" i="11"/>
  <c r="G123" i="19"/>
  <c r="K123" i="19"/>
  <c r="I123" i="19"/>
  <c r="E123" i="19"/>
  <c r="L111" i="2"/>
  <c r="M111" i="2"/>
  <c r="D7" i="11"/>
  <c r="E7" i="11"/>
  <c r="C51" i="11"/>
  <c r="G39" i="11"/>
  <c r="F7" i="11"/>
  <c r="L39" i="11"/>
  <c r="M39" i="11"/>
  <c r="E143" i="11"/>
  <c r="C187" i="11"/>
  <c r="D143" i="11"/>
  <c r="F11" i="10"/>
  <c r="G215" i="11"/>
  <c r="M215" i="11"/>
  <c r="N112" i="11"/>
  <c r="O112" i="11"/>
  <c r="E24" i="9"/>
  <c r="C72" i="19"/>
  <c r="M12" i="6"/>
  <c r="J29" i="8"/>
  <c r="I72" i="19"/>
  <c r="E72" i="19"/>
  <c r="G72" i="19"/>
  <c r="K72" i="19"/>
  <c r="L215" i="11"/>
  <c r="E187" i="11"/>
  <c r="D187" i="11"/>
  <c r="D26" i="11"/>
  <c r="C70" i="11"/>
  <c r="E26" i="11"/>
  <c r="D14" i="10"/>
  <c r="K139" i="2"/>
  <c r="B70" i="11"/>
  <c r="C184" i="11"/>
  <c r="E140" i="11"/>
  <c r="D140" i="11"/>
  <c r="E15" i="19"/>
  <c r="I15" i="19"/>
  <c r="G15" i="19"/>
  <c r="K15" i="19"/>
  <c r="M12" i="5"/>
  <c r="O31" i="6"/>
  <c r="Q31" i="6"/>
  <c r="D12" i="11"/>
  <c r="C56" i="11"/>
  <c r="E12" i="11"/>
  <c r="E108" i="19"/>
  <c r="K108" i="19"/>
  <c r="G108" i="19"/>
  <c r="I108" i="19"/>
  <c r="D138" i="11"/>
  <c r="C182" i="11"/>
  <c r="E138" i="11"/>
  <c r="E35" i="19"/>
  <c r="C54" i="19"/>
  <c r="D7" i="9"/>
  <c r="C31" i="19"/>
  <c r="D51" i="11"/>
  <c r="C95" i="11"/>
  <c r="E51" i="11"/>
  <c r="L127" i="11"/>
  <c r="C9" i="9"/>
  <c r="C7" i="19"/>
  <c r="O96" i="11"/>
  <c r="N96" i="11"/>
  <c r="E21" i="10"/>
  <c r="D14" i="9"/>
  <c r="T50" i="6"/>
  <c r="T52" i="6"/>
  <c r="V50" i="6"/>
  <c r="V52" i="6"/>
  <c r="W50" i="6"/>
  <c r="W52" i="6"/>
  <c r="U50" i="6"/>
  <c r="U52" i="6"/>
  <c r="O25" i="6"/>
  <c r="S52" i="6"/>
  <c r="O156" i="11"/>
  <c r="N156" i="11"/>
  <c r="D23" i="10"/>
  <c r="C103" i="2"/>
  <c r="D79" i="2"/>
  <c r="G9" i="9"/>
  <c r="C107" i="19"/>
  <c r="S6" i="6"/>
  <c r="J37" i="11"/>
  <c r="L37" i="11"/>
  <c r="F32" i="11"/>
  <c r="M32" i="11"/>
  <c r="M117" i="11"/>
  <c r="L117" i="11"/>
  <c r="D9" i="9"/>
  <c r="C32" i="19"/>
  <c r="B114" i="11"/>
  <c r="L143" i="11"/>
  <c r="M143" i="11"/>
  <c r="F5" i="9"/>
  <c r="G11" i="10"/>
  <c r="O7" i="11"/>
  <c r="N7" i="11"/>
  <c r="J112" i="2"/>
  <c r="K34" i="6"/>
  <c r="K25" i="6"/>
  <c r="D184" i="11"/>
  <c r="E184" i="11"/>
  <c r="E81" i="19"/>
  <c r="I81" i="19"/>
  <c r="K81" i="19"/>
  <c r="G81" i="19"/>
  <c r="F93" i="4"/>
  <c r="P12" i="5"/>
  <c r="R31" i="6"/>
  <c r="T31" i="6"/>
  <c r="O21" i="6"/>
  <c r="Q21" i="6"/>
  <c r="Q23" i="6"/>
  <c r="P10" i="6"/>
  <c r="O50" i="6"/>
  <c r="O52" i="6"/>
  <c r="P50" i="6"/>
  <c r="P52" i="6"/>
  <c r="Q50" i="6"/>
  <c r="Q52" i="6"/>
  <c r="R50" i="6"/>
  <c r="R52" i="6"/>
  <c r="L25" i="6"/>
  <c r="N52" i="6"/>
  <c r="O200" i="11"/>
  <c r="G24" i="9"/>
  <c r="C122" i="19"/>
  <c r="N200" i="11"/>
  <c r="G13" i="19"/>
  <c r="K13" i="19"/>
  <c r="E13" i="19"/>
  <c r="I13" i="19"/>
  <c r="K126" i="2"/>
  <c r="J8" i="6"/>
  <c r="F6" i="5"/>
  <c r="H11" i="8"/>
  <c r="K28" i="6"/>
  <c r="K41" i="6"/>
  <c r="B182" i="11"/>
  <c r="C164" i="2"/>
  <c r="M73" i="2"/>
  <c r="L73" i="2"/>
  <c r="L7" i="8"/>
  <c r="B95" i="11"/>
  <c r="J3" i="8"/>
  <c r="C12" i="9"/>
  <c r="C10" i="19"/>
  <c r="D7" i="10"/>
  <c r="M127" i="11"/>
  <c r="E22" i="10"/>
  <c r="D15" i="9"/>
  <c r="C38" i="19"/>
  <c r="D28" i="10"/>
  <c r="C21" i="19"/>
  <c r="K106" i="19"/>
  <c r="I106" i="19"/>
  <c r="E106" i="19"/>
  <c r="G106" i="19"/>
  <c r="C13" i="9"/>
  <c r="C12" i="19"/>
  <c r="D132" i="2"/>
  <c r="C133" i="2"/>
  <c r="C134" i="2"/>
  <c r="F115" i="4"/>
  <c r="F118" i="4"/>
  <c r="F123" i="4"/>
  <c r="R23" i="6"/>
  <c r="H66" i="4"/>
  <c r="F96" i="4"/>
  <c r="J31" i="14"/>
  <c r="J27" i="14"/>
  <c r="E13" i="5"/>
  <c r="E15" i="5"/>
  <c r="E11" i="5"/>
  <c r="E5" i="5"/>
  <c r="D14" i="5"/>
  <c r="E14" i="5"/>
  <c r="B6" i="20"/>
  <c r="B7" i="20"/>
  <c r="E8" i="5"/>
  <c r="E19" i="5"/>
  <c r="E17" i="5"/>
  <c r="E7" i="5"/>
  <c r="E10" i="5"/>
  <c r="E12" i="5"/>
  <c r="E9" i="5"/>
  <c r="E6" i="5"/>
  <c r="B8" i="20"/>
  <c r="E21" i="5"/>
  <c r="C54" i="11"/>
  <c r="E10" i="11"/>
  <c r="D10" i="11"/>
  <c r="N94" i="11"/>
  <c r="O94" i="11"/>
  <c r="C67" i="11"/>
  <c r="E23" i="11"/>
  <c r="D23" i="11"/>
  <c r="M8" i="6"/>
  <c r="J11" i="8"/>
  <c r="I6" i="5"/>
  <c r="B9" i="20"/>
  <c r="L32" i="11"/>
  <c r="M37" i="11"/>
  <c r="H11" i="10"/>
  <c r="T23" i="6"/>
  <c r="S10" i="6"/>
  <c r="R21" i="6"/>
  <c r="T21" i="6"/>
  <c r="G10" i="11"/>
  <c r="B5" i="20"/>
  <c r="D16" i="5"/>
  <c r="E16" i="5"/>
  <c r="E38" i="19"/>
  <c r="G38" i="19"/>
  <c r="I38" i="19"/>
  <c r="K38" i="19"/>
  <c r="D18" i="10"/>
  <c r="D3" i="10"/>
  <c r="N7" i="8"/>
  <c r="B139" i="11"/>
  <c r="L3" i="8"/>
  <c r="E46" i="19"/>
  <c r="E182" i="11"/>
  <c r="D182" i="11"/>
  <c r="B54" i="11"/>
  <c r="M126" i="2"/>
  <c r="L126" i="2"/>
  <c r="G122" i="19"/>
  <c r="K122" i="19"/>
  <c r="I122" i="19"/>
  <c r="E122" i="19"/>
  <c r="P8" i="6"/>
  <c r="L11" i="8"/>
  <c r="L6" i="5"/>
  <c r="S12" i="6"/>
  <c r="N29" i="8"/>
  <c r="F98" i="4"/>
  <c r="X50" i="6"/>
  <c r="H13" i="8"/>
  <c r="B56" i="11"/>
  <c r="C158" i="11"/>
  <c r="K32" i="19"/>
  <c r="G32" i="19"/>
  <c r="I32" i="19"/>
  <c r="E32" i="19"/>
  <c r="E9" i="9"/>
  <c r="C57" i="19"/>
  <c r="H26" i="11"/>
  <c r="E79" i="2"/>
  <c r="F79" i="2"/>
  <c r="Q34" i="6"/>
  <c r="Q25" i="6"/>
  <c r="Q28" i="6"/>
  <c r="Q41" i="6"/>
  <c r="E23" i="10"/>
  <c r="O51" i="11"/>
  <c r="N51" i="11"/>
  <c r="F12" i="11"/>
  <c r="G28" i="11"/>
  <c r="D12" i="10"/>
  <c r="D10" i="10"/>
  <c r="G12" i="11"/>
  <c r="F28" i="11"/>
  <c r="N140" i="11"/>
  <c r="O140" i="11"/>
  <c r="L139" i="2"/>
  <c r="M139" i="2"/>
  <c r="E15" i="9"/>
  <c r="C63" i="19"/>
  <c r="F22" i="10"/>
  <c r="J13" i="5"/>
  <c r="D125" i="11"/>
  <c r="E120" i="11"/>
  <c r="J4" i="5"/>
  <c r="B98" i="11"/>
  <c r="O23" i="11"/>
  <c r="C21" i="9"/>
  <c r="N23" i="11"/>
  <c r="E14" i="9"/>
  <c r="F21" i="10"/>
  <c r="F23" i="10"/>
  <c r="F10" i="11"/>
  <c r="D9" i="10"/>
  <c r="D133" i="2"/>
  <c r="D134" i="2"/>
  <c r="F132" i="2"/>
  <c r="E132" i="2"/>
  <c r="I12" i="19"/>
  <c r="I11" i="19"/>
  <c r="E12" i="19"/>
  <c r="E11" i="19"/>
  <c r="G12" i="19"/>
  <c r="G11" i="19"/>
  <c r="K12" i="19"/>
  <c r="K11" i="19"/>
  <c r="C11" i="19"/>
  <c r="C139" i="11"/>
  <c r="E95" i="11"/>
  <c r="D95" i="11"/>
  <c r="J74" i="2"/>
  <c r="D164" i="2"/>
  <c r="G13" i="5"/>
  <c r="D81" i="11"/>
  <c r="E76" i="11"/>
  <c r="G4" i="5"/>
  <c r="N34" i="6"/>
  <c r="N25" i="6"/>
  <c r="H71" i="4"/>
  <c r="N184" i="11"/>
  <c r="O184" i="11"/>
  <c r="K112" i="2"/>
  <c r="C79" i="19"/>
  <c r="I107" i="19"/>
  <c r="K107" i="19"/>
  <c r="G107" i="19"/>
  <c r="E107" i="19"/>
  <c r="D103" i="2"/>
  <c r="F24" i="9"/>
  <c r="C97" i="19"/>
  <c r="D13" i="9"/>
  <c r="C37" i="19"/>
  <c r="I7" i="19"/>
  <c r="K7" i="19"/>
  <c r="E7" i="19"/>
  <c r="G7" i="19"/>
  <c r="K31" i="19"/>
  <c r="G31" i="19"/>
  <c r="E31" i="19"/>
  <c r="I31" i="19"/>
  <c r="K54" i="19"/>
  <c r="E54" i="19"/>
  <c r="I54" i="19"/>
  <c r="G54" i="19"/>
  <c r="O138" i="11"/>
  <c r="N138" i="11"/>
  <c r="L29" i="8"/>
  <c r="P12" i="6"/>
  <c r="E70" i="11"/>
  <c r="C114" i="11"/>
  <c r="D114" i="11"/>
  <c r="D70" i="11"/>
  <c r="M26" i="11"/>
  <c r="L26" i="11"/>
  <c r="L187" i="11"/>
  <c r="M187" i="11"/>
  <c r="G5" i="9"/>
  <c r="M12" i="11"/>
  <c r="L12" i="11"/>
  <c r="C104" i="19"/>
  <c r="C6" i="9"/>
  <c r="E14" i="10"/>
  <c r="F14" i="9"/>
  <c r="G21" i="10"/>
  <c r="I37" i="19"/>
  <c r="I36" i="19"/>
  <c r="G37" i="19"/>
  <c r="G36" i="19"/>
  <c r="C36" i="19"/>
  <c r="E37" i="19"/>
  <c r="E36" i="19"/>
  <c r="K37" i="19"/>
  <c r="K36" i="19"/>
  <c r="E97" i="19"/>
  <c r="I97" i="19"/>
  <c r="G97" i="19"/>
  <c r="K97" i="19"/>
  <c r="E103" i="2"/>
  <c r="F103" i="2"/>
  <c r="E79" i="19"/>
  <c r="K79" i="19"/>
  <c r="G79" i="19"/>
  <c r="I79" i="19"/>
  <c r="B100" i="11"/>
  <c r="J13" i="8"/>
  <c r="N28" i="6"/>
  <c r="N41" i="6"/>
  <c r="H19" i="5"/>
  <c r="H13" i="5"/>
  <c r="H17" i="5"/>
  <c r="H6" i="5"/>
  <c r="G14" i="5"/>
  <c r="C8" i="20"/>
  <c r="H9" i="5"/>
  <c r="H15" i="5"/>
  <c r="H12" i="5"/>
  <c r="H7" i="5"/>
  <c r="H14" i="5"/>
  <c r="C6" i="20"/>
  <c r="C7" i="20"/>
  <c r="H21" i="5"/>
  <c r="H8" i="5"/>
  <c r="H10" i="5"/>
  <c r="H5" i="5"/>
  <c r="H11" i="5"/>
  <c r="J81" i="11"/>
  <c r="M81" i="11"/>
  <c r="B165" i="2"/>
  <c r="K74" i="2"/>
  <c r="N95" i="11"/>
  <c r="O95" i="11"/>
  <c r="C142" i="11"/>
  <c r="F120" i="11"/>
  <c r="L120" i="11"/>
  <c r="I63" i="19"/>
  <c r="E63" i="19"/>
  <c r="K63" i="19"/>
  <c r="G63" i="19"/>
  <c r="C80" i="2"/>
  <c r="E114" i="11"/>
  <c r="F14" i="10"/>
  <c r="D56" i="11"/>
  <c r="E56" i="11"/>
  <c r="C100" i="11"/>
  <c r="AA50" i="6"/>
  <c r="AA52" i="6"/>
  <c r="Z50" i="6"/>
  <c r="Z52" i="6"/>
  <c r="AB50" i="6"/>
  <c r="AB52" i="6"/>
  <c r="Y50" i="6"/>
  <c r="Y52" i="6"/>
  <c r="R25" i="6"/>
  <c r="X52" i="6"/>
  <c r="B142" i="11"/>
  <c r="J127" i="2"/>
  <c r="B183" i="11"/>
  <c r="N3" i="8"/>
  <c r="M10" i="11"/>
  <c r="B158" i="11"/>
  <c r="F15" i="9"/>
  <c r="C88" i="19"/>
  <c r="G22" i="10"/>
  <c r="M112" i="2"/>
  <c r="L112" i="2"/>
  <c r="F76" i="11"/>
  <c r="G54" i="11"/>
  <c r="E13" i="9"/>
  <c r="C62" i="19"/>
  <c r="C19" i="19"/>
  <c r="D27" i="10"/>
  <c r="K9" i="5"/>
  <c r="K13" i="5"/>
  <c r="D8" i="20"/>
  <c r="K10" i="5"/>
  <c r="K7" i="5"/>
  <c r="K8" i="5"/>
  <c r="K17" i="5"/>
  <c r="K21" i="5"/>
  <c r="K19" i="5"/>
  <c r="K15" i="5"/>
  <c r="K11" i="5"/>
  <c r="J14" i="5"/>
  <c r="K5" i="5"/>
  <c r="K14" i="5"/>
  <c r="D6" i="20"/>
  <c r="D7" i="20"/>
  <c r="K12" i="5"/>
  <c r="K6" i="5"/>
  <c r="J125" i="11"/>
  <c r="L125" i="11"/>
  <c r="J140" i="2"/>
  <c r="L13" i="8"/>
  <c r="B144" i="11"/>
  <c r="K57" i="19"/>
  <c r="I57" i="19"/>
  <c r="E57" i="19"/>
  <c r="G57" i="19"/>
  <c r="B202" i="11"/>
  <c r="M13" i="5"/>
  <c r="D169" i="11"/>
  <c r="M4" i="5"/>
  <c r="E164" i="11"/>
  <c r="C98" i="11"/>
  <c r="E54" i="11"/>
  <c r="D54" i="11"/>
  <c r="N182" i="11"/>
  <c r="O182" i="11"/>
  <c r="E139" i="11"/>
  <c r="D139" i="11"/>
  <c r="C183" i="11"/>
  <c r="D18" i="5"/>
  <c r="L10" i="11"/>
  <c r="S8" i="6"/>
  <c r="N11" i="8"/>
  <c r="O6" i="5"/>
  <c r="M125" i="11"/>
  <c r="M76" i="11"/>
  <c r="M120" i="11"/>
  <c r="D20" i="5"/>
  <c r="E18" i="5"/>
  <c r="E12" i="10"/>
  <c r="E10" i="10"/>
  <c r="G15" i="9"/>
  <c r="C113" i="19"/>
  <c r="H22" i="10"/>
  <c r="L54" i="11"/>
  <c r="M54" i="11"/>
  <c r="F164" i="11"/>
  <c r="G142" i="11"/>
  <c r="J169" i="11"/>
  <c r="M169" i="11"/>
  <c r="L169" i="11"/>
  <c r="C188" i="11"/>
  <c r="K140" i="2"/>
  <c r="J141" i="2"/>
  <c r="H114" i="11"/>
  <c r="L114" i="11"/>
  <c r="D5" i="20"/>
  <c r="J16" i="5"/>
  <c r="K16" i="5"/>
  <c r="E62" i="19"/>
  <c r="E61" i="19"/>
  <c r="K62" i="19"/>
  <c r="K61" i="19"/>
  <c r="G62" i="19"/>
  <c r="G61" i="19"/>
  <c r="I62" i="19"/>
  <c r="I61" i="19"/>
  <c r="C61" i="19"/>
  <c r="L76" i="11"/>
  <c r="J113" i="2"/>
  <c r="K127" i="2"/>
  <c r="J128" i="2"/>
  <c r="G56" i="11"/>
  <c r="F72" i="11"/>
  <c r="D80" i="2"/>
  <c r="D98" i="11"/>
  <c r="E98" i="11"/>
  <c r="G35" i="19"/>
  <c r="H70" i="11"/>
  <c r="C5" i="20"/>
  <c r="G16" i="5"/>
  <c r="C104" i="2"/>
  <c r="G23" i="10"/>
  <c r="E208" i="11"/>
  <c r="P4" i="5"/>
  <c r="P13" i="5"/>
  <c r="D213" i="11"/>
  <c r="B186" i="11"/>
  <c r="F139" i="11"/>
  <c r="O139" i="11"/>
  <c r="G14" i="9"/>
  <c r="H21" i="10"/>
  <c r="H23" i="10"/>
  <c r="E9" i="10"/>
  <c r="N12" i="5"/>
  <c r="N17" i="5"/>
  <c r="N14" i="5"/>
  <c r="E6" i="20"/>
  <c r="E7" i="20"/>
  <c r="M14" i="5"/>
  <c r="N5" i="5"/>
  <c r="N7" i="5"/>
  <c r="E8" i="20"/>
  <c r="N10" i="5"/>
  <c r="N19" i="5"/>
  <c r="N8" i="5"/>
  <c r="N13" i="5"/>
  <c r="N21" i="5"/>
  <c r="N9" i="5"/>
  <c r="N15" i="5"/>
  <c r="N6" i="5"/>
  <c r="N11" i="5"/>
  <c r="D9" i="20"/>
  <c r="K19" i="19"/>
  <c r="I88" i="19"/>
  <c r="E88" i="19"/>
  <c r="K88" i="19"/>
  <c r="G88" i="19"/>
  <c r="E158" i="11"/>
  <c r="D158" i="11"/>
  <c r="C202" i="11"/>
  <c r="D202" i="11"/>
  <c r="E183" i="11"/>
  <c r="D183" i="11"/>
  <c r="E142" i="11"/>
  <c r="C186" i="11"/>
  <c r="D142" i="11"/>
  <c r="T34" i="6"/>
  <c r="T25" i="6"/>
  <c r="C165" i="2"/>
  <c r="M74" i="2"/>
  <c r="L74" i="2"/>
  <c r="L81" i="11"/>
  <c r="C9" i="20"/>
  <c r="C144" i="11"/>
  <c r="D144" i="11"/>
  <c r="E100" i="11"/>
  <c r="D100" i="11"/>
  <c r="C87" i="19"/>
  <c r="F13" i="9"/>
  <c r="C5" i="19"/>
  <c r="I104" i="19"/>
  <c r="G104" i="19"/>
  <c r="E104" i="19"/>
  <c r="K104" i="19"/>
  <c r="M114" i="11"/>
  <c r="M164" i="11"/>
  <c r="L56" i="11"/>
  <c r="H16" i="5"/>
  <c r="C6" i="18"/>
  <c r="D22" i="5"/>
  <c r="E20" i="5"/>
  <c r="G14" i="10"/>
  <c r="G144" i="11"/>
  <c r="F160" i="11"/>
  <c r="G87" i="19"/>
  <c r="G86" i="19"/>
  <c r="K87" i="19"/>
  <c r="K86" i="19"/>
  <c r="I87" i="19"/>
  <c r="I86" i="19"/>
  <c r="E87" i="19"/>
  <c r="E86" i="19"/>
  <c r="C86" i="19"/>
  <c r="G100" i="11"/>
  <c r="F116" i="11"/>
  <c r="L100" i="11"/>
  <c r="J75" i="2"/>
  <c r="D165" i="2"/>
  <c r="N13" i="8"/>
  <c r="B188" i="11"/>
  <c r="T28" i="6"/>
  <c r="T41" i="6"/>
  <c r="L142" i="11"/>
  <c r="M142" i="11"/>
  <c r="E6" i="9"/>
  <c r="F12" i="10"/>
  <c r="F10" i="10"/>
  <c r="G46" i="19"/>
  <c r="F183" i="11"/>
  <c r="E9" i="20"/>
  <c r="M16" i="5"/>
  <c r="N16" i="5"/>
  <c r="E5" i="20"/>
  <c r="E186" i="11"/>
  <c r="D186" i="11"/>
  <c r="Q11" i="5"/>
  <c r="Q17" i="5"/>
  <c r="F8" i="20"/>
  <c r="Q15" i="5"/>
  <c r="Q9" i="5"/>
  <c r="Q5" i="5"/>
  <c r="P14" i="5"/>
  <c r="Q7" i="5"/>
  <c r="Q8" i="5"/>
  <c r="Q13" i="5"/>
  <c r="Q6" i="5"/>
  <c r="Q12" i="5"/>
  <c r="Q19" i="5"/>
  <c r="Q14" i="5"/>
  <c r="F6" i="20"/>
  <c r="F7" i="20"/>
  <c r="Q21" i="5"/>
  <c r="Q10" i="5"/>
  <c r="D104" i="2"/>
  <c r="C105" i="2"/>
  <c r="L70" i="11"/>
  <c r="M70" i="11"/>
  <c r="F9" i="10"/>
  <c r="M56" i="11"/>
  <c r="K113" i="2"/>
  <c r="E6" i="18"/>
  <c r="J18" i="5"/>
  <c r="E144" i="11"/>
  <c r="G12" i="10"/>
  <c r="G10" i="10"/>
  <c r="E202" i="11"/>
  <c r="H14" i="10"/>
  <c r="H158" i="11"/>
  <c r="L164" i="11"/>
  <c r="E5" i="19"/>
  <c r="K5" i="19"/>
  <c r="G5" i="19"/>
  <c r="I5" i="19"/>
  <c r="G9" i="10"/>
  <c r="N183" i="11"/>
  <c r="O183" i="11"/>
  <c r="G13" i="9"/>
  <c r="C112" i="19"/>
  <c r="J213" i="11"/>
  <c r="L213" i="11"/>
  <c r="F208" i="11"/>
  <c r="L208" i="11"/>
  <c r="D6" i="18"/>
  <c r="G18" i="5"/>
  <c r="G98" i="11"/>
  <c r="L98" i="11"/>
  <c r="E80" i="2"/>
  <c r="F80" i="2"/>
  <c r="K128" i="2"/>
  <c r="L127" i="2"/>
  <c r="M127" i="2"/>
  <c r="K141" i="2"/>
  <c r="M140" i="2"/>
  <c r="L140" i="2"/>
  <c r="E113" i="19"/>
  <c r="G113" i="19"/>
  <c r="K113" i="19"/>
  <c r="I113" i="19"/>
  <c r="N139" i="11"/>
  <c r="M100" i="11"/>
  <c r="M98" i="11"/>
  <c r="J20" i="5"/>
  <c r="K20" i="5"/>
  <c r="K18" i="5"/>
  <c r="B10" i="18"/>
  <c r="G20" i="5"/>
  <c r="H20" i="5"/>
  <c r="H18" i="5"/>
  <c r="E22" i="5"/>
  <c r="D2" i="10"/>
  <c r="D23" i="5"/>
  <c r="D24" i="5"/>
  <c r="M208" i="11"/>
  <c r="J142" i="2"/>
  <c r="J129" i="2"/>
  <c r="K112" i="19"/>
  <c r="K111" i="19"/>
  <c r="G112" i="19"/>
  <c r="G111" i="19"/>
  <c r="E112" i="19"/>
  <c r="E111" i="19"/>
  <c r="I112" i="19"/>
  <c r="I111" i="19"/>
  <c r="C111" i="19"/>
  <c r="D6" i="9"/>
  <c r="D105" i="2"/>
  <c r="E104" i="2"/>
  <c r="F104" i="2"/>
  <c r="H9" i="10"/>
  <c r="M18" i="5"/>
  <c r="L158" i="11"/>
  <c r="C55" i="19"/>
  <c r="D188" i="11"/>
  <c r="E188" i="11"/>
  <c r="B166" i="2"/>
  <c r="K75" i="2"/>
  <c r="M144" i="11"/>
  <c r="C81" i="2"/>
  <c r="H202" i="11"/>
  <c r="L202" i="11"/>
  <c r="M213" i="11"/>
  <c r="L113" i="2"/>
  <c r="M113" i="2"/>
  <c r="P16" i="5"/>
  <c r="F5" i="20"/>
  <c r="F9" i="20"/>
  <c r="G186" i="11"/>
  <c r="M158" i="11"/>
  <c r="L144" i="11"/>
  <c r="E24" i="5"/>
  <c r="B16" i="18"/>
  <c r="D25" i="5"/>
  <c r="D26" i="5"/>
  <c r="F6" i="9"/>
  <c r="M20" i="5"/>
  <c r="N20" i="5"/>
  <c r="N18" i="5"/>
  <c r="C10" i="18"/>
  <c r="D10" i="18"/>
  <c r="P18" i="5"/>
  <c r="Q16" i="5"/>
  <c r="F6" i="18"/>
  <c r="E23" i="5"/>
  <c r="D19" i="10"/>
  <c r="D17" i="10"/>
  <c r="D42" i="11"/>
  <c r="J42" i="11"/>
  <c r="L42" i="11"/>
  <c r="C11" i="9"/>
  <c r="C9" i="19"/>
  <c r="G9" i="19"/>
  <c r="G3" i="19"/>
  <c r="H33" i="6"/>
  <c r="C166" i="2"/>
  <c r="L75" i="2"/>
  <c r="M75" i="2"/>
  <c r="G188" i="11"/>
  <c r="F204" i="11"/>
  <c r="C106" i="2"/>
  <c r="C30" i="19"/>
  <c r="C80" i="19"/>
  <c r="K9" i="19"/>
  <c r="K3" i="19"/>
  <c r="L186" i="11"/>
  <c r="M42" i="11"/>
  <c r="M186" i="11"/>
  <c r="J114" i="2"/>
  <c r="D81" i="2"/>
  <c r="C82" i="2"/>
  <c r="M202" i="11"/>
  <c r="G6" i="9"/>
  <c r="I35" i="19"/>
  <c r="H12" i="10"/>
  <c r="H10" i="10"/>
  <c r="G55" i="19"/>
  <c r="I55" i="19"/>
  <c r="E55" i="19"/>
  <c r="K55" i="19"/>
  <c r="K129" i="2"/>
  <c r="K142" i="2"/>
  <c r="E9" i="19"/>
  <c r="E3" i="19"/>
  <c r="H28" i="11"/>
  <c r="C3" i="19"/>
  <c r="I9" i="19"/>
  <c r="I3" i="19"/>
  <c r="E26" i="5"/>
  <c r="E44" i="11"/>
  <c r="F44" i="11"/>
  <c r="G20" i="11"/>
  <c r="D28" i="5"/>
  <c r="E28" i="5"/>
  <c r="E11" i="7"/>
  <c r="F21" i="8"/>
  <c r="D44" i="11"/>
  <c r="E6" i="7"/>
  <c r="D11" i="9"/>
  <c r="C34" i="19"/>
  <c r="F31" i="8"/>
  <c r="P20" i="5"/>
  <c r="Q20" i="5"/>
  <c r="Q18" i="5"/>
  <c r="E10" i="18"/>
  <c r="E25" i="5"/>
  <c r="H32" i="6"/>
  <c r="D43" i="11"/>
  <c r="C105" i="19"/>
  <c r="I30" i="19"/>
  <c r="G30" i="19"/>
  <c r="E30" i="19"/>
  <c r="K30" i="19"/>
  <c r="D106" i="2"/>
  <c r="L142" i="2"/>
  <c r="M142" i="2"/>
  <c r="M129" i="2"/>
  <c r="L129" i="2"/>
  <c r="D82" i="2"/>
  <c r="F81" i="2"/>
  <c r="E81" i="2"/>
  <c r="K114" i="2"/>
  <c r="J115" i="2"/>
  <c r="J116" i="2"/>
  <c r="E80" i="19"/>
  <c r="K80" i="19"/>
  <c r="I80" i="19"/>
  <c r="G80" i="19"/>
  <c r="L188" i="11"/>
  <c r="M188" i="11"/>
  <c r="J76" i="2"/>
  <c r="D166" i="2"/>
  <c r="I46" i="19"/>
  <c r="F30" i="8"/>
  <c r="H38" i="6"/>
  <c r="H42" i="6"/>
  <c r="H43" i="6"/>
  <c r="F10" i="18"/>
  <c r="K34" i="19"/>
  <c r="I34" i="19"/>
  <c r="I28" i="19"/>
  <c r="E34" i="19"/>
  <c r="E28" i="19"/>
  <c r="G34" i="19"/>
  <c r="G28" i="19"/>
  <c r="G44" i="11"/>
  <c r="M44" i="11"/>
  <c r="B28" i="11"/>
  <c r="F38" i="8"/>
  <c r="H20" i="8"/>
  <c r="B63" i="11"/>
  <c r="E63" i="11"/>
  <c r="F63" i="11"/>
  <c r="B20" i="11"/>
  <c r="F16" i="8"/>
  <c r="K76" i="2"/>
  <c r="B167" i="2"/>
  <c r="J77" i="2"/>
  <c r="C83" i="2"/>
  <c r="I105" i="19"/>
  <c r="E105" i="19"/>
  <c r="G105" i="19"/>
  <c r="K105" i="19"/>
  <c r="C107" i="11"/>
  <c r="K115" i="2"/>
  <c r="K116" i="2"/>
  <c r="M114" i="2"/>
  <c r="L114" i="2"/>
  <c r="J130" i="2"/>
  <c r="J143" i="2"/>
  <c r="E106" i="2"/>
  <c r="F106" i="2"/>
  <c r="D63" i="11"/>
  <c r="L44" i="11"/>
  <c r="C64" i="11"/>
  <c r="D20" i="11"/>
  <c r="E20" i="11"/>
  <c r="B30" i="18"/>
  <c r="B21" i="18"/>
  <c r="F20" i="11"/>
  <c r="F45" i="11"/>
  <c r="G45" i="11"/>
  <c r="E22" i="7"/>
  <c r="E23" i="7"/>
  <c r="E5" i="7"/>
  <c r="E8" i="7"/>
  <c r="B11" i="18"/>
  <c r="B17" i="18"/>
  <c r="B29" i="18"/>
  <c r="D28" i="11"/>
  <c r="C72" i="11"/>
  <c r="E28" i="11"/>
  <c r="D15" i="10"/>
  <c r="D13" i="10"/>
  <c r="D8" i="10"/>
  <c r="D20" i="10"/>
  <c r="B27" i="11"/>
  <c r="F27" i="8"/>
  <c r="C107" i="2"/>
  <c r="G63" i="11"/>
  <c r="C167" i="2"/>
  <c r="K77" i="2"/>
  <c r="M76" i="2"/>
  <c r="L76" i="2"/>
  <c r="K143" i="2"/>
  <c r="K130" i="2"/>
  <c r="D83" i="2"/>
  <c r="K35" i="19"/>
  <c r="K28" i="19"/>
  <c r="B168" i="2"/>
  <c r="D22" i="14"/>
  <c r="D21" i="14"/>
  <c r="E24" i="7"/>
  <c r="E25" i="7"/>
  <c r="E26" i="7"/>
  <c r="F14" i="8"/>
  <c r="B22" i="18"/>
  <c r="B33" i="18"/>
  <c r="B12" i="18"/>
  <c r="B18" i="18"/>
  <c r="B31" i="18"/>
  <c r="M28" i="11"/>
  <c r="L28" i="11"/>
  <c r="C71" i="11"/>
  <c r="D27" i="11"/>
  <c r="E27" i="11"/>
  <c r="J43" i="11"/>
  <c r="N20" i="11"/>
  <c r="O20" i="11"/>
  <c r="F34" i="8"/>
  <c r="D85" i="11"/>
  <c r="G21" i="5"/>
  <c r="G22" i="5"/>
  <c r="H22" i="5"/>
  <c r="D24" i="14"/>
  <c r="E83" i="2"/>
  <c r="F83" i="2"/>
  <c r="M130" i="2"/>
  <c r="L130" i="2"/>
  <c r="M143" i="2"/>
  <c r="L143" i="2"/>
  <c r="J78" i="2"/>
  <c r="D167" i="2"/>
  <c r="H25" i="8"/>
  <c r="O63" i="11"/>
  <c r="K46" i="19"/>
  <c r="C168" i="2"/>
  <c r="N63" i="11"/>
  <c r="D107" i="2"/>
  <c r="C8" i="9"/>
  <c r="C4" i="9"/>
  <c r="M43" i="11"/>
  <c r="H27" i="11"/>
  <c r="H45" i="11"/>
  <c r="J45" i="11"/>
  <c r="L43" i="11"/>
  <c r="L14" i="11"/>
  <c r="L45" i="11"/>
  <c r="G24" i="8"/>
  <c r="G32" i="8"/>
  <c r="G28" i="8"/>
  <c r="G27" i="8"/>
  <c r="G22" i="8"/>
  <c r="G34" i="8"/>
  <c r="G30" i="8"/>
  <c r="G26" i="8"/>
  <c r="G16" i="8"/>
  <c r="G18" i="8"/>
  <c r="G20" i="8"/>
  <c r="G31" i="8"/>
  <c r="G25" i="8"/>
  <c r="G38" i="8"/>
  <c r="G29" i="8"/>
  <c r="G17" i="8"/>
  <c r="G33" i="8"/>
  <c r="G23" i="8"/>
  <c r="G21" i="8"/>
  <c r="G19" i="8"/>
  <c r="F107" i="2"/>
  <c r="E107" i="2"/>
  <c r="K78" i="2"/>
  <c r="B169" i="2"/>
  <c r="J144" i="2"/>
  <c r="D33" i="14"/>
  <c r="D34" i="14"/>
  <c r="C4" i="20"/>
  <c r="L85" i="11"/>
  <c r="M85" i="11"/>
  <c r="F7" i="7"/>
  <c r="D23" i="9"/>
  <c r="B14" i="11"/>
  <c r="F10" i="8"/>
  <c r="H24" i="8"/>
  <c r="B67" i="11"/>
  <c r="J131" i="2"/>
  <c r="C84" i="2"/>
  <c r="E2" i="10"/>
  <c r="G23" i="5"/>
  <c r="N27" i="11"/>
  <c r="B32" i="18"/>
  <c r="O27" i="11"/>
  <c r="G24" i="5"/>
  <c r="H24" i="5"/>
  <c r="C16" i="18"/>
  <c r="H23" i="5"/>
  <c r="B36" i="18"/>
  <c r="B35" i="18"/>
  <c r="M14" i="11"/>
  <c r="M45" i="11"/>
  <c r="C22" i="9"/>
  <c r="N14" i="11"/>
  <c r="N45" i="11"/>
  <c r="O14" i="11"/>
  <c r="O45" i="11"/>
  <c r="G25" i="5"/>
  <c r="H25" i="5"/>
  <c r="D84" i="2"/>
  <c r="K131" i="2"/>
  <c r="E67" i="11"/>
  <c r="C111" i="11"/>
  <c r="D67" i="11"/>
  <c r="F36" i="8"/>
  <c r="F15" i="8"/>
  <c r="C46" i="19"/>
  <c r="E28" i="10"/>
  <c r="C108" i="2"/>
  <c r="K33" i="6"/>
  <c r="E19" i="10"/>
  <c r="D86" i="11"/>
  <c r="C58" i="11"/>
  <c r="C89" i="11"/>
  <c r="D14" i="11"/>
  <c r="D45" i="11"/>
  <c r="E14" i="11"/>
  <c r="E45" i="11"/>
  <c r="B45" i="11"/>
  <c r="E7" i="10"/>
  <c r="D12" i="9"/>
  <c r="C35" i="19"/>
  <c r="C28" i="19"/>
  <c r="K144" i="2"/>
  <c r="E60" i="19"/>
  <c r="C169" i="2"/>
  <c r="L78" i="2"/>
  <c r="M78" i="2"/>
  <c r="B20" i="18"/>
  <c r="G36" i="8"/>
  <c r="G26" i="5"/>
  <c r="H26" i="5"/>
  <c r="C20" i="19"/>
  <c r="C16" i="9"/>
  <c r="C26" i="9"/>
  <c r="C28" i="9"/>
  <c r="D29" i="10"/>
  <c r="D30" i="10"/>
  <c r="D31" i="10"/>
  <c r="D33" i="10"/>
  <c r="J79" i="2"/>
  <c r="D169" i="2"/>
  <c r="E71" i="19"/>
  <c r="E18" i="10"/>
  <c r="E17" i="10"/>
  <c r="E3" i="10"/>
  <c r="Q15" i="8"/>
  <c r="G15" i="8"/>
  <c r="G6" i="8"/>
  <c r="G10" i="8"/>
  <c r="G12" i="8"/>
  <c r="B15" i="18"/>
  <c r="G4" i="8"/>
  <c r="B9" i="18"/>
  <c r="B14" i="18"/>
  <c r="G13" i="8"/>
  <c r="G11" i="8"/>
  <c r="G3" i="8"/>
  <c r="G8" i="8"/>
  <c r="G5" i="8"/>
  <c r="B8" i="18"/>
  <c r="G9" i="8"/>
  <c r="G7" i="8"/>
  <c r="G14" i="8"/>
  <c r="O67" i="11"/>
  <c r="N67" i="11"/>
  <c r="L131" i="2"/>
  <c r="M131" i="2"/>
  <c r="F6" i="7"/>
  <c r="M144" i="2"/>
  <c r="L144" i="2"/>
  <c r="J86" i="11"/>
  <c r="M86" i="11"/>
  <c r="L86" i="11"/>
  <c r="H31" i="8"/>
  <c r="E11" i="9"/>
  <c r="C59" i="19"/>
  <c r="D108" i="2"/>
  <c r="E84" i="2"/>
  <c r="F84" i="2"/>
  <c r="K32" i="6"/>
  <c r="D87" i="11"/>
  <c r="D88" i="11"/>
  <c r="H21" i="8"/>
  <c r="G28" i="5"/>
  <c r="H28" i="5"/>
  <c r="F11" i="7"/>
  <c r="E32" i="10"/>
  <c r="I33" i="10"/>
  <c r="G20" i="19"/>
  <c r="G14" i="19"/>
  <c r="G24" i="19"/>
  <c r="I20" i="19"/>
  <c r="I14" i="19"/>
  <c r="I24" i="19"/>
  <c r="K20" i="19"/>
  <c r="K14" i="19"/>
  <c r="K24" i="19"/>
  <c r="E20" i="19"/>
  <c r="E14" i="19"/>
  <c r="E24" i="19"/>
  <c r="E26" i="19"/>
  <c r="G25" i="19"/>
  <c r="C14" i="19"/>
  <c r="C24" i="19"/>
  <c r="C26" i="19"/>
  <c r="C31" i="9"/>
  <c r="D27" i="9"/>
  <c r="G88" i="11"/>
  <c r="F64" i="11"/>
  <c r="H30" i="8"/>
  <c r="K38" i="6"/>
  <c r="K42" i="6"/>
  <c r="K43" i="6"/>
  <c r="C85" i="2"/>
  <c r="F108" i="2"/>
  <c r="E108" i="2"/>
  <c r="B72" i="11"/>
  <c r="H38" i="8"/>
  <c r="B64" i="11"/>
  <c r="J20" i="8"/>
  <c r="H16" i="8"/>
  <c r="J87" i="11"/>
  <c r="H71" i="11"/>
  <c r="I59" i="19"/>
  <c r="K59" i="19"/>
  <c r="E59" i="19"/>
  <c r="E53" i="19"/>
  <c r="G59" i="19"/>
  <c r="E88" i="11"/>
  <c r="H72" i="11"/>
  <c r="J145" i="2"/>
  <c r="J132" i="2"/>
  <c r="K79" i="2"/>
  <c r="B170" i="2"/>
  <c r="L87" i="11"/>
  <c r="G26" i="19"/>
  <c r="I25" i="19"/>
  <c r="I26" i="19"/>
  <c r="K25" i="19"/>
  <c r="K26" i="19"/>
  <c r="J89" i="11"/>
  <c r="M87" i="11"/>
  <c r="C30" i="18"/>
  <c r="C21" i="18"/>
  <c r="M26" i="19"/>
  <c r="C50" i="19"/>
  <c r="E50" i="19"/>
  <c r="G60" i="19"/>
  <c r="F88" i="11"/>
  <c r="G64" i="11"/>
  <c r="G89" i="11"/>
  <c r="G53" i="19"/>
  <c r="H89" i="11"/>
  <c r="B107" i="11"/>
  <c r="C109" i="2"/>
  <c r="F22" i="7"/>
  <c r="F5" i="7"/>
  <c r="L88" i="11"/>
  <c r="C170" i="2"/>
  <c r="L79" i="2"/>
  <c r="M79" i="2"/>
  <c r="K132" i="2"/>
  <c r="J133" i="2"/>
  <c r="J134" i="2"/>
  <c r="K145" i="2"/>
  <c r="J146" i="2"/>
  <c r="J147" i="2"/>
  <c r="C29" i="18"/>
  <c r="C11" i="18"/>
  <c r="C17" i="18"/>
  <c r="C108" i="11"/>
  <c r="E64" i="11"/>
  <c r="D64" i="11"/>
  <c r="C116" i="11"/>
  <c r="D72" i="11"/>
  <c r="E72" i="11"/>
  <c r="D85" i="2"/>
  <c r="B71" i="11"/>
  <c r="H27" i="8"/>
  <c r="H34" i="8"/>
  <c r="M88" i="11"/>
  <c r="F89" i="11"/>
  <c r="E15" i="10"/>
  <c r="E13" i="10"/>
  <c r="E8" i="10"/>
  <c r="E20" i="10"/>
  <c r="I24" i="8"/>
  <c r="I17" i="8"/>
  <c r="I26" i="8"/>
  <c r="I30" i="8"/>
  <c r="I21" i="8"/>
  <c r="I38" i="8"/>
  <c r="I16" i="8"/>
  <c r="I27" i="8"/>
  <c r="I33" i="8"/>
  <c r="I31" i="8"/>
  <c r="I34" i="8"/>
  <c r="I25" i="8"/>
  <c r="I32" i="8"/>
  <c r="I29" i="8"/>
  <c r="I23" i="8"/>
  <c r="I19" i="8"/>
  <c r="I22" i="8"/>
  <c r="I20" i="8"/>
  <c r="I18" i="8"/>
  <c r="I28" i="8"/>
  <c r="C115" i="11"/>
  <c r="E71" i="11"/>
  <c r="D71" i="11"/>
  <c r="L72" i="11"/>
  <c r="M72" i="11"/>
  <c r="N64" i="11"/>
  <c r="O64" i="11"/>
  <c r="K146" i="2"/>
  <c r="K147" i="2"/>
  <c r="M145" i="2"/>
  <c r="L145" i="2"/>
  <c r="K133" i="2"/>
  <c r="K134" i="2"/>
  <c r="L132" i="2"/>
  <c r="M132" i="2"/>
  <c r="J80" i="2"/>
  <c r="D170" i="2"/>
  <c r="G71" i="19"/>
  <c r="F8" i="7"/>
  <c r="E107" i="11"/>
  <c r="F107" i="11"/>
  <c r="D107" i="11"/>
  <c r="C151" i="11"/>
  <c r="C12" i="18"/>
  <c r="C18" i="18"/>
  <c r="C33" i="18"/>
  <c r="C31" i="18"/>
  <c r="E85" i="2"/>
  <c r="F85" i="2"/>
  <c r="F23" i="7"/>
  <c r="D109" i="2"/>
  <c r="C110" i="2"/>
  <c r="D8" i="9"/>
  <c r="D4" i="9"/>
  <c r="C32" i="18"/>
  <c r="F24" i="7"/>
  <c r="F25" i="7"/>
  <c r="C86" i="2"/>
  <c r="G107" i="11"/>
  <c r="O107" i="11"/>
  <c r="K80" i="2"/>
  <c r="B171" i="2"/>
  <c r="M58" i="11"/>
  <c r="M89" i="11"/>
  <c r="L58" i="11"/>
  <c r="L89" i="11"/>
  <c r="D110" i="2"/>
  <c r="E109" i="2"/>
  <c r="F109" i="2"/>
  <c r="N71" i="11"/>
  <c r="D22" i="9"/>
  <c r="O71" i="11"/>
  <c r="N107" i="11"/>
  <c r="C45" i="19"/>
  <c r="E29" i="10"/>
  <c r="E30" i="10"/>
  <c r="E31" i="10"/>
  <c r="E33" i="10"/>
  <c r="D16" i="9"/>
  <c r="D26" i="9"/>
  <c r="D28" i="9"/>
  <c r="C111" i="2"/>
  <c r="N58" i="11"/>
  <c r="N89" i="11"/>
  <c r="C171" i="2"/>
  <c r="L80" i="2"/>
  <c r="M80" i="2"/>
  <c r="F26" i="7"/>
  <c r="H14" i="8"/>
  <c r="C22" i="18"/>
  <c r="O58" i="11"/>
  <c r="O89" i="11"/>
  <c r="I60" i="19"/>
  <c r="I53" i="19"/>
  <c r="D86" i="2"/>
  <c r="C87" i="2"/>
  <c r="D111" i="2"/>
  <c r="F32" i="10"/>
  <c r="J33" i="10"/>
  <c r="D87" i="2"/>
  <c r="E86" i="2"/>
  <c r="F86" i="2"/>
  <c r="B58" i="11"/>
  <c r="H10" i="8"/>
  <c r="J81" i="2"/>
  <c r="D171" i="2"/>
  <c r="I71" i="19"/>
  <c r="D31" i="9"/>
  <c r="E27" i="9"/>
  <c r="K45" i="19"/>
  <c r="K39" i="19"/>
  <c r="K49" i="19"/>
  <c r="I45" i="19"/>
  <c r="I39" i="19"/>
  <c r="I49" i="19"/>
  <c r="E45" i="19"/>
  <c r="E39" i="19"/>
  <c r="E49" i="19"/>
  <c r="E51" i="19"/>
  <c r="G50" i="19"/>
  <c r="G45" i="19"/>
  <c r="G39" i="19"/>
  <c r="G49" i="19"/>
  <c r="G51" i="19"/>
  <c r="I50" i="19"/>
  <c r="C39" i="19"/>
  <c r="C49" i="19"/>
  <c r="C51" i="19"/>
  <c r="C35" i="18"/>
  <c r="C36" i="18"/>
  <c r="M51" i="19"/>
  <c r="C75" i="19"/>
  <c r="E75" i="19"/>
  <c r="K81" i="2"/>
  <c r="B172" i="2"/>
  <c r="J82" i="2"/>
  <c r="H36" i="8"/>
  <c r="H15" i="8"/>
  <c r="I51" i="19"/>
  <c r="K50" i="19"/>
  <c r="K51" i="19"/>
  <c r="C102" i="11"/>
  <c r="C133" i="11"/>
  <c r="E58" i="11"/>
  <c r="E89" i="11"/>
  <c r="D58" i="11"/>
  <c r="D89" i="11"/>
  <c r="B89" i="11"/>
  <c r="C88" i="2"/>
  <c r="E111" i="2"/>
  <c r="F111" i="2"/>
  <c r="C20" i="18"/>
  <c r="I36" i="8"/>
  <c r="C112" i="2"/>
  <c r="D88" i="2"/>
  <c r="R15" i="8"/>
  <c r="I4" i="8"/>
  <c r="I8" i="8"/>
  <c r="I14" i="8"/>
  <c r="I13" i="8"/>
  <c r="I15" i="8"/>
  <c r="I10" i="8"/>
  <c r="I9" i="8"/>
  <c r="C9" i="18"/>
  <c r="C14" i="18"/>
  <c r="I3" i="8"/>
  <c r="C8" i="18"/>
  <c r="I7" i="8"/>
  <c r="I5" i="8"/>
  <c r="I6" i="8"/>
  <c r="I12" i="8"/>
  <c r="C15" i="18"/>
  <c r="I11" i="8"/>
  <c r="C172" i="2"/>
  <c r="K82" i="2"/>
  <c r="L81" i="2"/>
  <c r="M81" i="2"/>
  <c r="K60" i="19"/>
  <c r="K53" i="19"/>
  <c r="B173" i="2"/>
  <c r="F22" i="14"/>
  <c r="F21" i="14"/>
  <c r="J21" i="5"/>
  <c r="J22" i="5"/>
  <c r="K22" i="5"/>
  <c r="D129" i="11"/>
  <c r="F24" i="14"/>
  <c r="J83" i="2"/>
  <c r="D172" i="2"/>
  <c r="J25" i="8"/>
  <c r="K71" i="19"/>
  <c r="C173" i="2"/>
  <c r="F88" i="2"/>
  <c r="E88" i="2"/>
  <c r="D112" i="2"/>
  <c r="C89" i="2"/>
  <c r="E23" i="9"/>
  <c r="G7" i="7"/>
  <c r="J24" i="8"/>
  <c r="B111" i="11"/>
  <c r="K83" i="2"/>
  <c r="B174" i="2"/>
  <c r="L129" i="11"/>
  <c r="M129" i="11"/>
  <c r="F112" i="2"/>
  <c r="E112" i="2"/>
  <c r="D4" i="20"/>
  <c r="F33" i="14"/>
  <c r="F34" i="14"/>
  <c r="J23" i="5"/>
  <c r="F2" i="10"/>
  <c r="J24" i="5"/>
  <c r="K24" i="5"/>
  <c r="D16" i="18"/>
  <c r="K23" i="5"/>
  <c r="J25" i="5"/>
  <c r="K25" i="5"/>
  <c r="E85" i="19"/>
  <c r="C174" i="2"/>
  <c r="L83" i="2"/>
  <c r="M83" i="2"/>
  <c r="F28" i="10"/>
  <c r="C71" i="19"/>
  <c r="D130" i="11"/>
  <c r="N33" i="6"/>
  <c r="F19" i="10"/>
  <c r="C113" i="2"/>
  <c r="F7" i="10"/>
  <c r="E12" i="9"/>
  <c r="C60" i="19"/>
  <c r="C53" i="19"/>
  <c r="D111" i="11"/>
  <c r="E111" i="11"/>
  <c r="C155" i="11"/>
  <c r="D89" i="2"/>
  <c r="J26" i="5"/>
  <c r="K26" i="5"/>
  <c r="E89" i="2"/>
  <c r="F89" i="2"/>
  <c r="O111" i="11"/>
  <c r="N111" i="11"/>
  <c r="F18" i="10"/>
  <c r="F17" i="10"/>
  <c r="F3" i="10"/>
  <c r="D113" i="2"/>
  <c r="J31" i="8"/>
  <c r="F11" i="9"/>
  <c r="C84" i="19"/>
  <c r="E96" i="19"/>
  <c r="J130" i="11"/>
  <c r="M130" i="11"/>
  <c r="J84" i="2"/>
  <c r="D174" i="2"/>
  <c r="N32" i="6"/>
  <c r="D131" i="11"/>
  <c r="G11" i="7"/>
  <c r="J21" i="8"/>
  <c r="J28" i="5"/>
  <c r="K28" i="5"/>
  <c r="G6" i="7"/>
  <c r="J131" i="11"/>
  <c r="H115" i="11"/>
  <c r="J30" i="8"/>
  <c r="N38" i="6"/>
  <c r="N42" i="6"/>
  <c r="N43" i="6"/>
  <c r="K84" i="2"/>
  <c r="B175" i="2"/>
  <c r="E132" i="11"/>
  <c r="H116" i="11"/>
  <c r="E84" i="19"/>
  <c r="E78" i="19"/>
  <c r="I84" i="19"/>
  <c r="G84" i="19"/>
  <c r="K84" i="19"/>
  <c r="D132" i="11"/>
  <c r="L130" i="11"/>
  <c r="B108" i="11"/>
  <c r="L20" i="8"/>
  <c r="J16" i="8"/>
  <c r="B116" i="11"/>
  <c r="J38" i="8"/>
  <c r="E113" i="2"/>
  <c r="F113" i="2"/>
  <c r="C90" i="2"/>
  <c r="D30" i="18"/>
  <c r="D21" i="18"/>
  <c r="J133" i="11"/>
  <c r="M131" i="11"/>
  <c r="E116" i="11"/>
  <c r="C160" i="11"/>
  <c r="D116" i="11"/>
  <c r="C114" i="2"/>
  <c r="D11" i="18"/>
  <c r="D17" i="18"/>
  <c r="D29" i="18"/>
  <c r="E108" i="11"/>
  <c r="C152" i="11"/>
  <c r="D108" i="11"/>
  <c r="G132" i="11"/>
  <c r="F108" i="11"/>
  <c r="C175" i="2"/>
  <c r="M84" i="2"/>
  <c r="L84" i="2"/>
  <c r="B115" i="11"/>
  <c r="J27" i="8"/>
  <c r="L131" i="11"/>
  <c r="D90" i="2"/>
  <c r="B151" i="11"/>
  <c r="F132" i="11"/>
  <c r="G108" i="11"/>
  <c r="G85" i="19"/>
  <c r="G78" i="19"/>
  <c r="G22" i="7"/>
  <c r="G5" i="7"/>
  <c r="H133" i="11"/>
  <c r="G133" i="11"/>
  <c r="G23" i="7"/>
  <c r="E151" i="11"/>
  <c r="F151" i="11"/>
  <c r="D151" i="11"/>
  <c r="C195" i="11"/>
  <c r="D18" i="18"/>
  <c r="D33" i="18"/>
  <c r="D12" i="18"/>
  <c r="D31" i="18"/>
  <c r="J85" i="2"/>
  <c r="D175" i="2"/>
  <c r="L132" i="11"/>
  <c r="M132" i="11"/>
  <c r="J34" i="8"/>
  <c r="L116" i="11"/>
  <c r="M116" i="11"/>
  <c r="F15" i="10"/>
  <c r="F13" i="10"/>
  <c r="F8" i="10"/>
  <c r="F20" i="10"/>
  <c r="G8" i="7"/>
  <c r="F90" i="2"/>
  <c r="E90" i="2"/>
  <c r="C159" i="11"/>
  <c r="D115" i="11"/>
  <c r="E115" i="11"/>
  <c r="G96" i="19"/>
  <c r="F133" i="11"/>
  <c r="N108" i="11"/>
  <c r="O108" i="11"/>
  <c r="D114" i="2"/>
  <c r="C115" i="2"/>
  <c r="C116" i="2"/>
  <c r="E8" i="9"/>
  <c r="E4" i="9"/>
  <c r="K25" i="8"/>
  <c r="K24" i="8"/>
  <c r="K27" i="8"/>
  <c r="K23" i="8"/>
  <c r="K17" i="8"/>
  <c r="K16" i="8"/>
  <c r="K30" i="8"/>
  <c r="K33" i="8"/>
  <c r="K18" i="8"/>
  <c r="K22" i="8"/>
  <c r="K32" i="8"/>
  <c r="K20" i="8"/>
  <c r="K28" i="8"/>
  <c r="K31" i="8"/>
  <c r="K38" i="8"/>
  <c r="K26" i="8"/>
  <c r="K19" i="8"/>
  <c r="K29" i="8"/>
  <c r="K34" i="8"/>
  <c r="K21" i="8"/>
  <c r="D115" i="2"/>
  <c r="D116" i="2"/>
  <c r="F114" i="2"/>
  <c r="E114" i="2"/>
  <c r="N115" i="11"/>
  <c r="E22" i="9"/>
  <c r="O115" i="11"/>
  <c r="C91" i="2"/>
  <c r="M102" i="11"/>
  <c r="M133" i="11"/>
  <c r="L102" i="11"/>
  <c r="L133" i="11"/>
  <c r="K85" i="2"/>
  <c r="B176" i="2"/>
  <c r="G151" i="11"/>
  <c r="O151" i="11"/>
  <c r="G24" i="7"/>
  <c r="G25" i="7"/>
  <c r="D32" i="18"/>
  <c r="N102" i="11"/>
  <c r="N133" i="11"/>
  <c r="I85" i="19"/>
  <c r="I78" i="19"/>
  <c r="G26" i="7"/>
  <c r="J14" i="8"/>
  <c r="D22" i="18"/>
  <c r="N151" i="11"/>
  <c r="C176" i="2"/>
  <c r="M85" i="2"/>
  <c r="L85" i="2"/>
  <c r="D91" i="2"/>
  <c r="C92" i="2"/>
  <c r="C93" i="2"/>
  <c r="F29" i="10"/>
  <c r="F30" i="10"/>
  <c r="F31" i="10"/>
  <c r="F33" i="10"/>
  <c r="E16" i="9"/>
  <c r="E26" i="9"/>
  <c r="E28" i="9"/>
  <c r="C70" i="19"/>
  <c r="O102" i="11"/>
  <c r="O133" i="11"/>
  <c r="K70" i="19"/>
  <c r="K64" i="19"/>
  <c r="K74" i="19"/>
  <c r="E70" i="19"/>
  <c r="E64" i="19"/>
  <c r="E74" i="19"/>
  <c r="E76" i="19"/>
  <c r="G75" i="19"/>
  <c r="I70" i="19"/>
  <c r="I64" i="19"/>
  <c r="I74" i="19"/>
  <c r="G70" i="19"/>
  <c r="G64" i="19"/>
  <c r="G74" i="19"/>
  <c r="G76" i="19"/>
  <c r="I75" i="19"/>
  <c r="C64" i="19"/>
  <c r="C74" i="19"/>
  <c r="C76" i="19"/>
  <c r="G32" i="10"/>
  <c r="K33" i="10"/>
  <c r="J86" i="2"/>
  <c r="D176" i="2"/>
  <c r="B102" i="11"/>
  <c r="J10" i="8"/>
  <c r="E31" i="9"/>
  <c r="F27" i="9"/>
  <c r="D92" i="2"/>
  <c r="D93" i="2"/>
  <c r="F91" i="2"/>
  <c r="E91" i="2"/>
  <c r="I96" i="19"/>
  <c r="D36" i="18"/>
  <c r="D35" i="18"/>
  <c r="J36" i="8"/>
  <c r="J15" i="8"/>
  <c r="K86" i="2"/>
  <c r="B177" i="2"/>
  <c r="J87" i="2"/>
  <c r="E102" i="11"/>
  <c r="E133" i="11"/>
  <c r="C146" i="11"/>
  <c r="C177" i="11"/>
  <c r="D102" i="11"/>
  <c r="D133" i="11"/>
  <c r="B133" i="11"/>
  <c r="C100" i="19"/>
  <c r="E100" i="19"/>
  <c r="M76" i="19"/>
  <c r="I76" i="19"/>
  <c r="K75" i="19"/>
  <c r="K76" i="19"/>
  <c r="D20" i="18"/>
  <c r="K36" i="8"/>
  <c r="C177" i="2"/>
  <c r="K87" i="2"/>
  <c r="L86" i="2"/>
  <c r="M86" i="2"/>
  <c r="K85" i="19"/>
  <c r="K78" i="19"/>
  <c r="B178" i="2"/>
  <c r="H22" i="14"/>
  <c r="H21" i="14"/>
  <c r="K10" i="8"/>
  <c r="K15" i="8"/>
  <c r="K4" i="8"/>
  <c r="K9" i="8"/>
  <c r="D14" i="18"/>
  <c r="D8" i="18"/>
  <c r="K11" i="8"/>
  <c r="K5" i="8"/>
  <c r="S15" i="8"/>
  <c r="K3" i="8"/>
  <c r="D15" i="18"/>
  <c r="D9" i="18"/>
  <c r="K14" i="8"/>
  <c r="K7" i="8"/>
  <c r="K12" i="8"/>
  <c r="K13" i="8"/>
  <c r="K6" i="8"/>
  <c r="K8" i="8"/>
  <c r="D173" i="11"/>
  <c r="M21" i="5"/>
  <c r="M22" i="5"/>
  <c r="N22" i="5"/>
  <c r="H24" i="14"/>
  <c r="J88" i="2"/>
  <c r="D177" i="2"/>
  <c r="L25" i="8"/>
  <c r="K96" i="19"/>
  <c r="C178" i="2"/>
  <c r="H7" i="7"/>
  <c r="F23" i="9"/>
  <c r="B155" i="11"/>
  <c r="L24" i="8"/>
  <c r="G2" i="10"/>
  <c r="M23" i="5"/>
  <c r="K88" i="2"/>
  <c r="B179" i="2"/>
  <c r="H33" i="14"/>
  <c r="H34" i="14"/>
  <c r="E4" i="20"/>
  <c r="L173" i="11"/>
  <c r="M173" i="11"/>
  <c r="M24" i="5"/>
  <c r="N24" i="5"/>
  <c r="E16" i="18"/>
  <c r="N23" i="5"/>
  <c r="M25" i="5"/>
  <c r="N25" i="5"/>
  <c r="E110" i="19"/>
  <c r="C179" i="2"/>
  <c r="M88" i="2"/>
  <c r="L88" i="2"/>
  <c r="C96" i="19"/>
  <c r="G28" i="10"/>
  <c r="G7" i="10"/>
  <c r="F12" i="9"/>
  <c r="C85" i="19"/>
  <c r="C78" i="19"/>
  <c r="G19" i="10"/>
  <c r="Q33" i="6"/>
  <c r="D174" i="11"/>
  <c r="E155" i="11"/>
  <c r="C199" i="11"/>
  <c r="D155" i="11"/>
  <c r="M26" i="5"/>
  <c r="N26" i="5"/>
  <c r="L31" i="8"/>
  <c r="G11" i="9"/>
  <c r="C109" i="19"/>
  <c r="J89" i="2"/>
  <c r="D179" i="2"/>
  <c r="E121" i="19"/>
  <c r="M28" i="5"/>
  <c r="N28" i="5"/>
  <c r="N155" i="11"/>
  <c r="O155" i="11"/>
  <c r="J174" i="11"/>
  <c r="M174" i="11"/>
  <c r="G18" i="10"/>
  <c r="G17" i="10"/>
  <c r="G3" i="10"/>
  <c r="D175" i="11"/>
  <c r="Q32" i="6"/>
  <c r="L174" i="11"/>
  <c r="H11" i="7"/>
  <c r="H6" i="7"/>
  <c r="L21" i="8"/>
  <c r="J175" i="11"/>
  <c r="H159" i="11"/>
  <c r="E176" i="11"/>
  <c r="H160" i="11"/>
  <c r="B152" i="11"/>
  <c r="N20" i="8"/>
  <c r="L16" i="8"/>
  <c r="K89" i="2"/>
  <c r="B180" i="2"/>
  <c r="G109" i="19"/>
  <c r="E109" i="19"/>
  <c r="E103" i="19"/>
  <c r="K109" i="19"/>
  <c r="I109" i="19"/>
  <c r="L30" i="8"/>
  <c r="Q38" i="6"/>
  <c r="Q42" i="6"/>
  <c r="Q43" i="6"/>
  <c r="D176" i="11"/>
  <c r="B160" i="11"/>
  <c r="L38" i="8"/>
  <c r="E30" i="18"/>
  <c r="E21" i="18"/>
  <c r="J177" i="11"/>
  <c r="L175" i="11"/>
  <c r="C204" i="11"/>
  <c r="D160" i="11"/>
  <c r="E160" i="11"/>
  <c r="H5" i="7"/>
  <c r="H22" i="7"/>
  <c r="G103" i="19"/>
  <c r="G110" i="19"/>
  <c r="E17" i="18"/>
  <c r="E11" i="18"/>
  <c r="E29" i="18"/>
  <c r="C196" i="11"/>
  <c r="E152" i="11"/>
  <c r="D152" i="11"/>
  <c r="M175" i="11"/>
  <c r="G176" i="11"/>
  <c r="F152" i="11"/>
  <c r="B159" i="11"/>
  <c r="L27" i="8"/>
  <c r="C180" i="2"/>
  <c r="L89" i="2"/>
  <c r="M89" i="2"/>
  <c r="B195" i="11"/>
  <c r="F176" i="11"/>
  <c r="G152" i="11"/>
  <c r="H177" i="11"/>
  <c r="G177" i="11"/>
  <c r="G15" i="10"/>
  <c r="G13" i="10"/>
  <c r="G8" i="10"/>
  <c r="G20" i="10"/>
  <c r="E195" i="11"/>
  <c r="F195" i="11"/>
  <c r="D195" i="11"/>
  <c r="J90" i="2"/>
  <c r="D180" i="2"/>
  <c r="E18" i="18"/>
  <c r="E12" i="18"/>
  <c r="E31" i="18"/>
  <c r="E33" i="18"/>
  <c r="L176" i="11"/>
  <c r="F177" i="11"/>
  <c r="N152" i="11"/>
  <c r="O152" i="11"/>
  <c r="H8" i="7"/>
  <c r="L160" i="11"/>
  <c r="M160" i="11"/>
  <c r="G121" i="19"/>
  <c r="E159" i="11"/>
  <c r="C203" i="11"/>
  <c r="D159" i="11"/>
  <c r="M176" i="11"/>
  <c r="L34" i="8"/>
  <c r="H23" i="7"/>
  <c r="M19" i="8"/>
  <c r="M38" i="8"/>
  <c r="M32" i="8"/>
  <c r="M26" i="8"/>
  <c r="M20" i="8"/>
  <c r="M24" i="8"/>
  <c r="M29" i="8"/>
  <c r="M31" i="8"/>
  <c r="M28" i="8"/>
  <c r="M27" i="8"/>
  <c r="E32" i="18"/>
  <c r="M34" i="8"/>
  <c r="M17" i="8"/>
  <c r="M23" i="8"/>
  <c r="M22" i="8"/>
  <c r="M16" i="8"/>
  <c r="M18" i="8"/>
  <c r="M25" i="8"/>
  <c r="M33" i="8"/>
  <c r="M21" i="8"/>
  <c r="M30" i="8"/>
  <c r="H24" i="7"/>
  <c r="H25" i="7"/>
  <c r="F8" i="9"/>
  <c r="F4" i="9"/>
  <c r="G195" i="11"/>
  <c r="N159" i="11"/>
  <c r="F22" i="9"/>
  <c r="O159" i="11"/>
  <c r="N146" i="11"/>
  <c r="N177" i="11"/>
  <c r="L146" i="11"/>
  <c r="L177" i="11"/>
  <c r="M146" i="11"/>
  <c r="M177" i="11"/>
  <c r="K90" i="2"/>
  <c r="B181" i="2"/>
  <c r="O146" i="11"/>
  <c r="O177" i="11"/>
  <c r="F16" i="9"/>
  <c r="G29" i="10"/>
  <c r="G30" i="10"/>
  <c r="G31" i="10"/>
  <c r="G33" i="10"/>
  <c r="C95" i="19"/>
  <c r="F26" i="9"/>
  <c r="F28" i="9"/>
  <c r="H26" i="7"/>
  <c r="L14" i="8"/>
  <c r="E22" i="18"/>
  <c r="C181" i="2"/>
  <c r="L90" i="2"/>
  <c r="M90" i="2"/>
  <c r="I110" i="19"/>
  <c r="I103" i="19"/>
  <c r="N195" i="11"/>
  <c r="O195" i="11"/>
  <c r="J91" i="2"/>
  <c r="D181" i="2"/>
  <c r="I121" i="19"/>
  <c r="H32" i="10"/>
  <c r="L33" i="10"/>
  <c r="B146" i="11"/>
  <c r="L10" i="8"/>
  <c r="F31" i="9"/>
  <c r="G27" i="9"/>
  <c r="K95" i="19"/>
  <c r="K89" i="19"/>
  <c r="K99" i="19"/>
  <c r="G95" i="19"/>
  <c r="G89" i="19"/>
  <c r="G99" i="19"/>
  <c r="E95" i="19"/>
  <c r="E89" i="19"/>
  <c r="E99" i="19"/>
  <c r="E101" i="19"/>
  <c r="G100" i="19"/>
  <c r="I95" i="19"/>
  <c r="I89" i="19"/>
  <c r="I99" i="19"/>
  <c r="C89" i="19"/>
  <c r="C99" i="19"/>
  <c r="C101" i="19"/>
  <c r="E36" i="18"/>
  <c r="E35" i="18"/>
  <c r="C190" i="11"/>
  <c r="C221" i="11"/>
  <c r="E146" i="11"/>
  <c r="E177" i="11"/>
  <c r="D146" i="11"/>
  <c r="D177" i="11"/>
  <c r="B177" i="11"/>
  <c r="K91" i="2"/>
  <c r="B182" i="2"/>
  <c r="J92" i="2"/>
  <c r="J93" i="2"/>
  <c r="M101" i="19"/>
  <c r="C125" i="19"/>
  <c r="E125" i="19"/>
  <c r="G101" i="19"/>
  <c r="I100" i="19"/>
  <c r="I101" i="19"/>
  <c r="K100" i="19"/>
  <c r="K101" i="19"/>
  <c r="L36" i="8"/>
  <c r="L15" i="8"/>
  <c r="E20" i="18"/>
  <c r="M36" i="8"/>
  <c r="M14" i="8"/>
  <c r="T15" i="8"/>
  <c r="M9" i="8"/>
  <c r="M5" i="8"/>
  <c r="M6" i="8"/>
  <c r="E15" i="18"/>
  <c r="E9" i="18"/>
  <c r="M4" i="8"/>
  <c r="M7" i="8"/>
  <c r="M12" i="8"/>
  <c r="M13" i="8"/>
  <c r="M3" i="8"/>
  <c r="M11" i="8"/>
  <c r="M15" i="8"/>
  <c r="M10" i="8"/>
  <c r="E14" i="18"/>
  <c r="M8" i="8"/>
  <c r="E8" i="18"/>
  <c r="C182" i="2"/>
  <c r="K92" i="2"/>
  <c r="K93" i="2"/>
  <c r="L91" i="2"/>
  <c r="D182" i="2"/>
  <c r="N25" i="8"/>
  <c r="M91" i="2"/>
  <c r="K110" i="19"/>
  <c r="K103" i="19"/>
  <c r="B183" i="2"/>
  <c r="J22" i="14"/>
  <c r="J21" i="14"/>
  <c r="P21" i="5"/>
  <c r="P22" i="5"/>
  <c r="Q22" i="5"/>
  <c r="D217" i="11"/>
  <c r="J24" i="14"/>
  <c r="N24" i="8"/>
  <c r="B199" i="11"/>
  <c r="K121" i="19"/>
  <c r="C183" i="2"/>
  <c r="G23" i="9"/>
  <c r="I7" i="7"/>
  <c r="J7" i="7"/>
  <c r="D199" i="11"/>
  <c r="E199" i="11"/>
  <c r="F4" i="20"/>
  <c r="J33" i="14"/>
  <c r="J34" i="14"/>
  <c r="P23" i="5"/>
  <c r="Q23" i="5"/>
  <c r="H2" i="10"/>
  <c r="P24" i="5"/>
  <c r="Q24" i="5"/>
  <c r="F16" i="18"/>
  <c r="M217" i="11"/>
  <c r="L217" i="11"/>
  <c r="G12" i="9"/>
  <c r="C110" i="19"/>
  <c r="C103" i="19"/>
  <c r="H7" i="10"/>
  <c r="P25" i="5"/>
  <c r="Q25" i="5"/>
  <c r="H19" i="10"/>
  <c r="T33" i="6"/>
  <c r="N31" i="8"/>
  <c r="D218" i="11"/>
  <c r="N199" i="11"/>
  <c r="O199" i="11"/>
  <c r="C121" i="19"/>
  <c r="H28" i="10"/>
  <c r="P26" i="5"/>
  <c r="Q26" i="5"/>
  <c r="J218" i="11"/>
  <c r="M218" i="11"/>
  <c r="D219" i="11"/>
  <c r="E220" i="11"/>
  <c r="T32" i="6"/>
  <c r="B204" i="11"/>
  <c r="N38" i="8"/>
  <c r="N21" i="8"/>
  <c r="H18" i="10"/>
  <c r="H17" i="10"/>
  <c r="H3" i="10"/>
  <c r="I6" i="7"/>
  <c r="J6" i="7"/>
  <c r="I11" i="7"/>
  <c r="J11" i="7"/>
  <c r="P28" i="5"/>
  <c r="Q28" i="5"/>
  <c r="F30" i="18"/>
  <c r="F21" i="18"/>
  <c r="L218" i="11"/>
  <c r="B196" i="11"/>
  <c r="N16" i="8"/>
  <c r="D204" i="11"/>
  <c r="E204" i="11"/>
  <c r="J219" i="11"/>
  <c r="H203" i="11"/>
  <c r="D220" i="11"/>
  <c r="H204" i="11"/>
  <c r="N30" i="8"/>
  <c r="T38" i="6"/>
  <c r="T42" i="6"/>
  <c r="T43" i="6"/>
  <c r="F220" i="11"/>
  <c r="G196" i="11"/>
  <c r="J221" i="11"/>
  <c r="H15" i="10"/>
  <c r="H13" i="10"/>
  <c r="H8" i="10"/>
  <c r="H20" i="10"/>
  <c r="H221" i="11"/>
  <c r="G220" i="11"/>
  <c r="F196" i="11"/>
  <c r="F221" i="11"/>
  <c r="F29" i="18"/>
  <c r="F11" i="18"/>
  <c r="F17" i="18"/>
  <c r="B203" i="11"/>
  <c r="N27" i="8"/>
  <c r="I22" i="7"/>
  <c r="I5" i="7"/>
  <c r="M219" i="11"/>
  <c r="L219" i="11"/>
  <c r="L204" i="11"/>
  <c r="M204" i="11"/>
  <c r="E196" i="11"/>
  <c r="D196" i="11"/>
  <c r="M220" i="11"/>
  <c r="G8" i="9"/>
  <c r="G4" i="9"/>
  <c r="L220" i="11"/>
  <c r="M190" i="11"/>
  <c r="M221" i="11"/>
  <c r="G221" i="11"/>
  <c r="O196" i="11"/>
  <c r="N196" i="11"/>
  <c r="L190" i="11"/>
  <c r="L221" i="11"/>
  <c r="I8" i="7"/>
  <c r="J8" i="7"/>
  <c r="J5" i="7"/>
  <c r="F31" i="18"/>
  <c r="F33" i="18"/>
  <c r="F12" i="18"/>
  <c r="F18" i="18"/>
  <c r="N34" i="8"/>
  <c r="J22" i="7"/>
  <c r="I23" i="7"/>
  <c r="D203" i="11"/>
  <c r="E203" i="11"/>
  <c r="N203" i="11"/>
  <c r="G22" i="9"/>
  <c r="O203" i="11"/>
  <c r="I24" i="7"/>
  <c r="I25" i="7"/>
  <c r="I26" i="7"/>
  <c r="N14" i="8"/>
  <c r="F22" i="18"/>
  <c r="J23" i="7"/>
  <c r="J24" i="7"/>
  <c r="N190" i="11"/>
  <c r="N221" i="11"/>
  <c r="O32" i="8"/>
  <c r="O26" i="8"/>
  <c r="O33" i="8"/>
  <c r="O27" i="8"/>
  <c r="O31" i="8"/>
  <c r="O22" i="8"/>
  <c r="O25" i="8"/>
  <c r="O29" i="8"/>
  <c r="O24" i="8"/>
  <c r="O20" i="8"/>
  <c r="O34" i="8"/>
  <c r="O19" i="8"/>
  <c r="O17" i="8"/>
  <c r="O16" i="8"/>
  <c r="O38" i="8"/>
  <c r="O18" i="8"/>
  <c r="O23" i="8"/>
  <c r="O28" i="8"/>
  <c r="O30" i="8"/>
  <c r="O21" i="8"/>
  <c r="O190" i="11"/>
  <c r="O221" i="11"/>
  <c r="F32" i="18"/>
  <c r="B190" i="11"/>
  <c r="N10" i="8"/>
  <c r="C120" i="19"/>
  <c r="H29" i="10"/>
  <c r="H30" i="10"/>
  <c r="H31" i="10"/>
  <c r="H33" i="10"/>
  <c r="G16" i="9"/>
  <c r="G26" i="9"/>
  <c r="G28" i="9"/>
  <c r="G31" i="9"/>
  <c r="F35" i="18"/>
  <c r="F36" i="18"/>
  <c r="E120" i="19"/>
  <c r="E114" i="19"/>
  <c r="E124" i="19"/>
  <c r="E126" i="19"/>
  <c r="G125" i="19"/>
  <c r="K120" i="19"/>
  <c r="K114" i="19"/>
  <c r="K124" i="19"/>
  <c r="G120" i="19"/>
  <c r="G114" i="19"/>
  <c r="G124" i="19"/>
  <c r="I120" i="19"/>
  <c r="I114" i="19"/>
  <c r="I124" i="19"/>
  <c r="C114" i="19"/>
  <c r="C124" i="19"/>
  <c r="C126" i="19"/>
  <c r="M126" i="19"/>
  <c r="D190" i="11"/>
  <c r="D221" i="11"/>
  <c r="E190" i="11"/>
  <c r="E221" i="11"/>
  <c r="B221" i="11"/>
  <c r="M33" i="10"/>
  <c r="N36" i="8"/>
  <c r="N15" i="8"/>
  <c r="F20" i="18"/>
  <c r="O36" i="8"/>
  <c r="G126" i="19"/>
  <c r="I125" i="19"/>
  <c r="I126" i="19"/>
  <c r="K125" i="19"/>
  <c r="K126" i="19"/>
  <c r="O10" i="8"/>
  <c r="O12" i="8"/>
  <c r="O15" i="8"/>
  <c r="U15" i="8"/>
  <c r="O8" i="8"/>
  <c r="O14" i="8"/>
  <c r="O3" i="8"/>
  <c r="O11" i="8"/>
  <c r="O13" i="8"/>
  <c r="O7" i="8"/>
  <c r="F9" i="18"/>
  <c r="F15" i="18"/>
  <c r="O4" i="8"/>
  <c r="F14" i="18"/>
  <c r="O5" i="8"/>
  <c r="F8" i="18"/>
  <c r="O9" i="8"/>
  <c r="O6" i="8"/>
</calcChain>
</file>

<file path=xl/comments1.xml><?xml version="1.0" encoding="utf-8"?>
<comments xmlns="http://schemas.openxmlformats.org/spreadsheetml/2006/main">
  <authors>
    <author>FMV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Por unidad de venta: envase, kg., etc.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En % sobre el precio de venta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Por unidad de venta: envase, kg., etc.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En % sobre el precio de venta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Por unidad de venta: envase, kg., etc.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En % sobre el precio de venta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Por unidad de venta: envase, kg., etc.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En % sobre el precio de venta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Por unidad de venta: envase, kg., etc.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En % sobre el precio de venta</t>
        </r>
      </text>
    </comment>
  </commentList>
</comments>
</file>

<file path=xl/comments2.xml><?xml version="1.0" encoding="utf-8"?>
<comments xmlns="http://schemas.openxmlformats.org/spreadsheetml/2006/main">
  <authors>
    <author>FMV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Hipótesis: 100% m.p. + 50% resto costes variables excepto comerciales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Envases y embalajes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Total costes variables excepto comerciales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Ventas + IVA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Poner importe estimado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Total costes variables + Servicios exteriores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50% del Impuesto recogido en Cuenta de Resultados. El resto se habría pagado a cuenta</t>
        </r>
      </text>
    </comment>
  </commentList>
</comments>
</file>

<file path=xl/sharedStrings.xml><?xml version="1.0" encoding="utf-8"?>
<sst xmlns="http://schemas.openxmlformats.org/spreadsheetml/2006/main" count="1842" uniqueCount="513">
  <si>
    <t>PARTIDAS</t>
  </si>
  <si>
    <t>TOTAL</t>
  </si>
  <si>
    <t xml:space="preserve"> -</t>
  </si>
  <si>
    <t>-</t>
  </si>
  <si>
    <t>Anualidad</t>
  </si>
  <si>
    <t>Intereses</t>
  </si>
  <si>
    <t>Capital pendiente</t>
  </si>
  <si>
    <t>Capital amortizado</t>
  </si>
  <si>
    <t>1.1</t>
  </si>
  <si>
    <t>1.2</t>
  </si>
  <si>
    <t>1.3</t>
  </si>
  <si>
    <t>1.4</t>
  </si>
  <si>
    <t>Total año 1</t>
  </si>
  <si>
    <t>2.1</t>
  </si>
  <si>
    <t>2.2</t>
  </si>
  <si>
    <t>2.3</t>
  </si>
  <si>
    <t>2.4</t>
  </si>
  <si>
    <t>Total año 2</t>
  </si>
  <si>
    <t>3.1</t>
  </si>
  <si>
    <t>3.2</t>
  </si>
  <si>
    <t>3.3</t>
  </si>
  <si>
    <t>3.4</t>
  </si>
  <si>
    <t>Total año 3</t>
  </si>
  <si>
    <t>4.1</t>
  </si>
  <si>
    <t>4.2</t>
  </si>
  <si>
    <t>4.3</t>
  </si>
  <si>
    <t>4.4</t>
  </si>
  <si>
    <t>Total año 4</t>
  </si>
  <si>
    <t>5.1</t>
  </si>
  <si>
    <t>5.2</t>
  </si>
  <si>
    <t>5.3</t>
  </si>
  <si>
    <t>5.4</t>
  </si>
  <si>
    <t>Total año 5</t>
  </si>
  <si>
    <t>TOTALES</t>
  </si>
  <si>
    <t>POLÍTICA DE VENTAS</t>
  </si>
  <si>
    <t>POLÍTICA DE GASTOS</t>
  </si>
  <si>
    <t>AMORTIZACIONES</t>
  </si>
  <si>
    <t>SUELDOS, SALARIOS Y S.S.</t>
  </si>
  <si>
    <t>GASTOS FINANCIEROS</t>
  </si>
  <si>
    <t>CUENTAS DE RESULTADOS PREVISIONALES</t>
  </si>
  <si>
    <t>TOTAL INGRESOS</t>
  </si>
  <si>
    <t>+</t>
  </si>
  <si>
    <t>Variación de existencias</t>
  </si>
  <si>
    <t>=</t>
  </si>
  <si>
    <t xml:space="preserve"> =</t>
  </si>
  <si>
    <t>Impuesto de Sociedades</t>
  </si>
  <si>
    <t>BENEFICIO NETO</t>
  </si>
  <si>
    <t>BENEFICIO RETENIDO</t>
  </si>
  <si>
    <t>POLÍTICA DE CIRCULANTE</t>
  </si>
  <si>
    <t>NECESIDADES DE CIRCULANTE</t>
  </si>
  <si>
    <t>Otros aprovisionamientos</t>
  </si>
  <si>
    <t>Productos terminados</t>
  </si>
  <si>
    <t>Clientes</t>
  </si>
  <si>
    <t>Tesorería</t>
  </si>
  <si>
    <t>RECURSOS CIRCULANTES</t>
  </si>
  <si>
    <t>Dividendos a pagar</t>
  </si>
  <si>
    <t>Organismos de la S.S. acreedores</t>
  </si>
  <si>
    <t>Necesidades de circulante</t>
  </si>
  <si>
    <t xml:space="preserve"> - Recursos circulantes</t>
  </si>
  <si>
    <t>PRESUPUESTO DE CAPITAL</t>
  </si>
  <si>
    <t>AÑO 1</t>
  </si>
  <si>
    <t>AÑO 2</t>
  </si>
  <si>
    <t>AÑO 3</t>
  </si>
  <si>
    <t xml:space="preserve"> *</t>
  </si>
  <si>
    <t>Dotaciones a la amortización</t>
  </si>
  <si>
    <t>Capital</t>
  </si>
  <si>
    <t>SUPERÁVIT/DÉFICIT</t>
  </si>
  <si>
    <t>SUPERÁVIT/DÉFICIT ACUMULADO</t>
  </si>
  <si>
    <t>TESORERÍA EN BALANCES PREVISIONALES</t>
  </si>
  <si>
    <t>ACTIVO</t>
  </si>
  <si>
    <t>TOTAL ACTIVO</t>
  </si>
  <si>
    <t>PASIVO</t>
  </si>
  <si>
    <t>FONDOS PROPIOS</t>
  </si>
  <si>
    <t>Reservas</t>
  </si>
  <si>
    <t>Año 1</t>
  </si>
  <si>
    <t>1T</t>
  </si>
  <si>
    <t>2T</t>
  </si>
  <si>
    <t>3T</t>
  </si>
  <si>
    <t>4T</t>
  </si>
  <si>
    <t>FLUJOS NETOS POR ACTIVIDADES ORDINARIAS</t>
  </si>
  <si>
    <t>Cobros de clientes</t>
  </si>
  <si>
    <t>Pagos a proveedores</t>
  </si>
  <si>
    <t>Pagos al personal</t>
  </si>
  <si>
    <t>Pagos a O. S. S. y a H. P.</t>
  </si>
  <si>
    <t>Otros pagos</t>
  </si>
  <si>
    <t>Pagos de intereses</t>
  </si>
  <si>
    <t>FLUJOS NETOS POR ACTIVIDADES DE INVERSIÓN</t>
  </si>
  <si>
    <t>Cobros por venta de activos fijos</t>
  </si>
  <si>
    <t>Pagos por adquisición de activos fijos</t>
  </si>
  <si>
    <t>FLUJOS NETOS POR ACTIVIDADES DE FINANCIACIÓN</t>
  </si>
  <si>
    <t>Aportaciones de los accionistas</t>
  </si>
  <si>
    <t>Captación de capitales ajenos</t>
  </si>
  <si>
    <t>Pagos de dividendos</t>
  </si>
  <si>
    <t>VARIACIÓN DE LA TESORERÍA EN EL PERÍODO</t>
  </si>
  <si>
    <t>Saldo de Tesorería inicial</t>
  </si>
  <si>
    <t>SALDO FINAL DE LA TESORERÍA</t>
  </si>
  <si>
    <t>Año 2</t>
  </si>
  <si>
    <t>Año 3</t>
  </si>
  <si>
    <t xml:space="preserve"> - (+)</t>
  </si>
  <si>
    <t xml:space="preserve"> + (-)</t>
  </si>
  <si>
    <t>Variación Administraciones Públicas corrientes</t>
  </si>
  <si>
    <t>Saldo inicial de Tesorería y otras disponibilidades líquidas</t>
  </si>
  <si>
    <t>CUENTAS</t>
  </si>
  <si>
    <t>Año 0</t>
  </si>
  <si>
    <t>DIFERENCIA</t>
  </si>
  <si>
    <t>ELIMINACIONES</t>
  </si>
  <si>
    <t>AJUSTES</t>
  </si>
  <si>
    <t>FLUJOS CORRIENTES</t>
  </si>
  <si>
    <t>FLUJOS NO CORRIENTES</t>
  </si>
  <si>
    <t>Debe</t>
  </si>
  <si>
    <t>Haber</t>
  </si>
  <si>
    <t xml:space="preserve">Pagos </t>
  </si>
  <si>
    <t>Cobros</t>
  </si>
  <si>
    <t>Pagos</t>
  </si>
  <si>
    <t>(Amortización acumulada)</t>
  </si>
  <si>
    <t>Ingresos por ventas</t>
  </si>
  <si>
    <t>Compras y otros gastos de explotación</t>
  </si>
  <si>
    <t>Gastos de personal</t>
  </si>
  <si>
    <t>Amortización del inmovilizado</t>
  </si>
  <si>
    <t>Otros gastos fijos</t>
  </si>
  <si>
    <t>Gastos financieros</t>
  </si>
  <si>
    <t>Resultado del período (Ganancia o Pérdida)</t>
  </si>
  <si>
    <t>SUMAS</t>
  </si>
  <si>
    <t>MARGEN DE CONTRIBUCIÓN</t>
  </si>
  <si>
    <t xml:space="preserve"> +</t>
  </si>
  <si>
    <t>Costes de estructura</t>
  </si>
  <si>
    <t>BALANCES PREVISIONALES</t>
  </si>
  <si>
    <t>Tipo de Interés Nominal</t>
  </si>
  <si>
    <r>
      <t xml:space="preserve">HOJA DE TRABAJO PARA LA CONFECCIÓN DEL </t>
    </r>
    <r>
      <rPr>
        <b/>
        <i/>
        <u/>
        <sz val="12"/>
        <color indexed="9"/>
        <rFont val="Trebuchet MS"/>
        <family val="2"/>
      </rPr>
      <t>ESTADO DE FLUJOS DE TESORERÍA</t>
    </r>
  </si>
  <si>
    <t>Costes variables unidades vendidas</t>
  </si>
  <si>
    <t>Costes variables unidades no vendidas</t>
  </si>
  <si>
    <t>Pagos del ejercicio Impuesto al Resultado</t>
  </si>
  <si>
    <t>Inversiones en activos no corrientes</t>
  </si>
  <si>
    <t>Amortizaciones financieras</t>
  </si>
  <si>
    <t>Autofinanciación</t>
  </si>
  <si>
    <t>Financiación externa</t>
  </si>
  <si>
    <t>Desinversiones en activos no corrientes</t>
  </si>
  <si>
    <t>Intangible</t>
  </si>
  <si>
    <t>Material</t>
  </si>
  <si>
    <t>Financiero</t>
  </si>
  <si>
    <t>Mercaderías</t>
  </si>
  <si>
    <t>Aplicaciones informáticas</t>
  </si>
  <si>
    <t>Otras inversiones intangibles</t>
  </si>
  <si>
    <t>Otras inversiones materiales</t>
  </si>
  <si>
    <t>Terrenos</t>
  </si>
  <si>
    <t>Edificaciones</t>
  </si>
  <si>
    <t>Mobiliario de oficina</t>
  </si>
  <si>
    <t>Equipamientos informáticos</t>
  </si>
  <si>
    <t>Fianzas constituidas a l/p</t>
  </si>
  <si>
    <t>Otras inversiones financieras</t>
  </si>
  <si>
    <t>TOTAL INVERSIONES NO CORRIENTES</t>
  </si>
  <si>
    <t>INICIAL</t>
  </si>
  <si>
    <t>PRESUPUESTOS DE INVERSIÓN</t>
  </si>
  <si>
    <t>Subvenciones y donaciones</t>
  </si>
  <si>
    <t>±</t>
  </si>
  <si>
    <t>GASTOS VARIABLES</t>
  </si>
  <si>
    <t>Arrendamientos</t>
  </si>
  <si>
    <t>Conservación y mantenimiento</t>
  </si>
  <si>
    <t>Servicios profesionales independientes</t>
  </si>
  <si>
    <t>Seguros</t>
  </si>
  <si>
    <t>Publicidad y promoción</t>
  </si>
  <si>
    <t>Dietas y gastos de viaje</t>
  </si>
  <si>
    <t>Suministros</t>
  </si>
  <si>
    <t>Teléfono</t>
  </si>
  <si>
    <t>SERVICIOS EXTERIORES</t>
  </si>
  <si>
    <t>Otros ingresos</t>
  </si>
  <si>
    <t>Inmovilizado bruto material e intangible</t>
  </si>
  <si>
    <t>Inmovilizado financiero</t>
  </si>
  <si>
    <r>
      <t xml:space="preserve">ΔA </t>
    </r>
    <r>
      <rPr>
        <b/>
        <sz val="10"/>
        <color indexed="9"/>
        <rFont val="Calibri"/>
        <family val="2"/>
      </rPr>
      <t>δ</t>
    </r>
    <r>
      <rPr>
        <b/>
        <sz val="10"/>
        <color indexed="9"/>
        <rFont val="Trebuchet MS"/>
        <family val="2"/>
      </rPr>
      <t>P</t>
    </r>
  </si>
  <si>
    <r>
      <t xml:space="preserve">δA </t>
    </r>
    <r>
      <rPr>
        <b/>
        <sz val="10"/>
        <color indexed="9"/>
        <rFont val="Calibri"/>
        <family val="2"/>
      </rPr>
      <t>Δ</t>
    </r>
    <r>
      <rPr>
        <b/>
        <sz val="10"/>
        <color indexed="9"/>
        <rFont val="Trebuchet MS"/>
        <family val="2"/>
      </rPr>
      <t xml:space="preserve">P </t>
    </r>
  </si>
  <si>
    <t>Subvenciones de capital recibidas</t>
  </si>
  <si>
    <t>IMPORTE</t>
  </si>
  <si>
    <t>Otras cuentas a pagar no financieras</t>
  </si>
  <si>
    <t>Otras cuentas a cobrar</t>
  </si>
  <si>
    <t>Deudas financieras a c/p</t>
  </si>
  <si>
    <t>Acreedores comerciales</t>
  </si>
  <si>
    <t>AÑO 4</t>
  </si>
  <si>
    <t>AÑO 5</t>
  </si>
  <si>
    <t>Cuota año 1</t>
  </si>
  <si>
    <t>Cuota año 2</t>
  </si>
  <si>
    <t>Cuota año 3</t>
  </si>
  <si>
    <t>Cuota año 4</t>
  </si>
  <si>
    <t>Cuota año 5</t>
  </si>
  <si>
    <t>Cuota anual</t>
  </si>
  <si>
    <t>Total año</t>
  </si>
  <si>
    <t>Instalaciones</t>
  </si>
  <si>
    <t>Maquinaria</t>
  </si>
  <si>
    <t>Vehículos de transporte</t>
  </si>
  <si>
    <t>FINANCIACIÓN</t>
  </si>
  <si>
    <t>Comisiones</t>
  </si>
  <si>
    <t>Cuota</t>
  </si>
  <si>
    <t>CUADRO ACUMULADO</t>
  </si>
  <si>
    <t>TRIMESTRE</t>
  </si>
  <si>
    <t>PRECIO</t>
  </si>
  <si>
    <t>CANTIDAD</t>
  </si>
  <si>
    <t>VARIACIÓN PRECIO</t>
  </si>
  <si>
    <t>VARIACIÓN CANTIDAD</t>
  </si>
  <si>
    <t>I.V.A.</t>
  </si>
  <si>
    <t>RESUMEN VENTAS SIN IVA</t>
  </si>
  <si>
    <t>RESUMEN VENTAS CON IVA</t>
  </si>
  <si>
    <t>TOTAL VENTAS</t>
  </si>
  <si>
    <t>Comisiones % 1</t>
  </si>
  <si>
    <t>Comisiones % 2</t>
  </si>
  <si>
    <t>Total</t>
  </si>
  <si>
    <t>RESUMEN GASTOS VARIABLES</t>
  </si>
  <si>
    <t>TOTAL CON I.V.A.</t>
  </si>
  <si>
    <t>TOTAL GASTOS VARIABLES CON I.V.A.</t>
  </si>
  <si>
    <t>TOTAL GASTOS VARIABLES</t>
  </si>
  <si>
    <t>I.V.A. SOPORTADO MEDIO</t>
  </si>
  <si>
    <t>Coste unitario</t>
  </si>
  <si>
    <t>Unidades</t>
  </si>
  <si>
    <t>Coste total</t>
  </si>
  <si>
    <t>Variación coste</t>
  </si>
  <si>
    <t>GASTOS DE ESTRUCTURA</t>
  </si>
  <si>
    <t>GASTOS TOTALES</t>
  </si>
  <si>
    <t>GASTOS VARIABLES:</t>
  </si>
  <si>
    <t>GASTOS ESTRUCTURA:</t>
  </si>
  <si>
    <t>GASTOS DE PERSONAL</t>
  </si>
  <si>
    <t>Nº PERSONAS</t>
  </si>
  <si>
    <t>CATEGORÍA PROFESIONAL</t>
  </si>
  <si>
    <t>SALARIO BRUTO</t>
  </si>
  <si>
    <t>% S. S.</t>
  </si>
  <si>
    <t>VARIACIÓN SALARIO</t>
  </si>
  <si>
    <t>COSTE TOTAL</t>
  </si>
  <si>
    <t>Titular</t>
  </si>
  <si>
    <t>SEG. SOCIAL</t>
  </si>
  <si>
    <t>Cat. 3</t>
  </si>
  <si>
    <t>Cat. 4</t>
  </si>
  <si>
    <t>Cat. 5</t>
  </si>
  <si>
    <t>Cat. 6</t>
  </si>
  <si>
    <t>Cat. 7</t>
  </si>
  <si>
    <t>VENTAS</t>
  </si>
  <si>
    <t>Principal</t>
  </si>
  <si>
    <t>Plazo de amortización</t>
  </si>
  <si>
    <t>Subvenciones explotación</t>
  </si>
  <si>
    <t>Trabajos para el inmovilizado</t>
  </si>
  <si>
    <t>Impuesto sobre beneficios</t>
  </si>
  <si>
    <t>Dividendos a socios</t>
  </si>
  <si>
    <t>CASH FLOW</t>
  </si>
  <si>
    <t>Productos en curso</t>
  </si>
  <si>
    <t>H. P. deudora por I.V.A. soportado</t>
  </si>
  <si>
    <t>Subcontratación</t>
  </si>
  <si>
    <t>Transporte</t>
  </si>
  <si>
    <t>Envase y embalaje</t>
  </si>
  <si>
    <t>Otros costes variables</t>
  </si>
  <si>
    <t>Subvenciones de capital periodificadas</t>
  </si>
  <si>
    <t xml:space="preserve"> - COSTES COMERCIALES</t>
  </si>
  <si>
    <t>COSTE VARIABLES DE PRODUCCIÓN</t>
  </si>
  <si>
    <t>TOTAL COSTES PRODUCCIÓN</t>
  </si>
  <si>
    <t>H.P. acreedora por Impuesto sobre beneficios</t>
  </si>
  <si>
    <t>H.P. acreedora por I.V.A. repercutido</t>
  </si>
  <si>
    <t>H.P. acreedora por retención IRPF. Tipo medio:</t>
  </si>
  <si>
    <t>FLUJO ANUAL</t>
  </si>
  <si>
    <t>PARTIDA</t>
  </si>
  <si>
    <t>DÍAS</t>
  </si>
  <si>
    <t>PATRIMONIO NETO</t>
  </si>
  <si>
    <t>Deudas con entidades de crédito</t>
  </si>
  <si>
    <t>(Fondo de amortización)</t>
  </si>
  <si>
    <t>H.P. acreedora por distintos conceptos</t>
  </si>
  <si>
    <t>PASIVO NO CORRIENTE</t>
  </si>
  <si>
    <t>PASIVO CORRIENTE</t>
  </si>
  <si>
    <t>ACTIVO NO CORRIENTE</t>
  </si>
  <si>
    <t>ACTIVO CORRIENTE</t>
  </si>
  <si>
    <t>TOTAL NECESIDADES FINANCIERAS</t>
  </si>
  <si>
    <t>Prima de emisión</t>
  </si>
  <si>
    <t>Pérdidas del ejercicio u otras disminuciones del P. N.</t>
  </si>
  <si>
    <t>Otras deudas financieras a c/p</t>
  </si>
  <si>
    <t>OTRAS DEUDAS FINANCIERAS</t>
  </si>
  <si>
    <t>Deudas financieras a l/p</t>
  </si>
  <si>
    <t>TOTAL RECURSOS FINANCIEROS</t>
  </si>
  <si>
    <t>Tesorería mínima</t>
  </si>
  <si>
    <t>Préstamos a largo plazo</t>
  </si>
  <si>
    <t>Otras deudas a largo plazo</t>
  </si>
  <si>
    <t>Otras deudas a corto plazo</t>
  </si>
  <si>
    <t>NECESIDADES/RECURSOS DEL FONDO DE ROTACIÓN</t>
  </si>
  <si>
    <t xml:space="preserve"> = NECESIDADES/RECURSOS DEL FONDO DE ROTACIÓN</t>
  </si>
  <si>
    <t>Reservas iniciales</t>
  </si>
  <si>
    <t>AÑO COMIENZO VENTAS</t>
  </si>
  <si>
    <t>Domicilio</t>
  </si>
  <si>
    <t>Localidad</t>
  </si>
  <si>
    <t>I.V.A. soportado en las inversiones</t>
  </si>
  <si>
    <t>Tipo impositivo medio estimado</t>
  </si>
  <si>
    <t>Tipo retención I.R.P.F. medio estimado</t>
  </si>
  <si>
    <t>Dividendos a repartir (%)</t>
  </si>
  <si>
    <t>IVA REPERCUTIDO</t>
  </si>
  <si>
    <t>TOTAL AÑO</t>
  </si>
  <si>
    <t>IVA SOPORTADO G. VARIABLES</t>
  </si>
  <si>
    <t>IVA SOPORTADO G. ESTRUCTURA</t>
  </si>
  <si>
    <t>LIQUIDACIÓN IVA</t>
  </si>
  <si>
    <t>Soportado inversiones</t>
  </si>
  <si>
    <t>Repercutido ventas</t>
  </si>
  <si>
    <t>Soportado variables</t>
  </si>
  <si>
    <t>Soportado estructura</t>
  </si>
  <si>
    <t xml:space="preserve"> - </t>
  </si>
  <si>
    <t>Servicios exteriores</t>
  </si>
  <si>
    <t>VALOR AÑADIDO BRUTO AL C. DE LOS F.</t>
  </si>
  <si>
    <t>Amortizaciones y otras depreciaciones</t>
  </si>
  <si>
    <t>TOTAL PASIVO + NETO</t>
  </si>
  <si>
    <t>Subvenciones de explotación</t>
  </si>
  <si>
    <t>Trabajos para el inmovilizado material</t>
  </si>
  <si>
    <t>Trabajos para el inmovilizado intangible</t>
  </si>
  <si>
    <t>Inmovilizaciones realizadas por la propia empresa</t>
  </si>
  <si>
    <t>IMPORTE INVERSIÓN</t>
  </si>
  <si>
    <t>IVA SOPORTADO</t>
  </si>
  <si>
    <r>
      <t>Carencia (</t>
    </r>
    <r>
      <rPr>
        <sz val="10"/>
        <rFont val="Calibri"/>
        <family val="2"/>
      </rPr>
      <t>≤</t>
    </r>
    <r>
      <rPr>
        <sz val="10"/>
        <rFont val="Trebuchet MS"/>
        <family val="2"/>
      </rPr>
      <t>2)</t>
    </r>
  </si>
  <si>
    <t>PRÉSTAMO 1 A L/P</t>
  </si>
  <si>
    <t>PRÉSTAMO 2 A L/P</t>
  </si>
  <si>
    <t>PRODUCTO/SERVICIO</t>
  </si>
  <si>
    <t>Tipo medio cotización S.S. trabajadores</t>
  </si>
  <si>
    <t>Importe medio cotización S.S. autónomos</t>
  </si>
  <si>
    <t>I.V.A. soportado medio en las compras</t>
  </si>
  <si>
    <t>I.V.A. soportado medio en los gastos de estructura</t>
  </si>
  <si>
    <t>I.V.A. repercutido medio en las ventas e ingresos</t>
  </si>
  <si>
    <t>Importe</t>
  </si>
  <si>
    <t>Variación</t>
  </si>
  <si>
    <t>Gastos de constitución y primer establecimiento</t>
  </si>
  <si>
    <t>Comisiones bancarias</t>
  </si>
  <si>
    <t>Materias Primas</t>
  </si>
  <si>
    <t xml:space="preserve"> - COSTES MERCADERÍAS Y TRANSPORTES</t>
  </si>
  <si>
    <t>Existencias</t>
  </si>
  <si>
    <t>Coste mercaderías</t>
  </si>
  <si>
    <t>Coste materias primas</t>
  </si>
  <si>
    <t>Subvenciones de capital</t>
  </si>
  <si>
    <r>
      <t xml:space="preserve">ΔA </t>
    </r>
    <r>
      <rPr>
        <b/>
        <sz val="10"/>
        <color indexed="9"/>
        <rFont val="Calibri"/>
        <family val="2"/>
      </rPr>
      <t>δ</t>
    </r>
    <r>
      <rPr>
        <b/>
        <sz val="10"/>
        <color indexed="9"/>
        <rFont val="Trebuchet MS"/>
        <family val="2"/>
      </rPr>
      <t>P</t>
    </r>
  </si>
  <si>
    <r>
      <t xml:space="preserve">δA </t>
    </r>
    <r>
      <rPr>
        <b/>
        <sz val="10"/>
        <color indexed="9"/>
        <rFont val="Calibri"/>
        <family val="2"/>
      </rPr>
      <t>Δ</t>
    </r>
    <r>
      <rPr>
        <b/>
        <sz val="10"/>
        <color indexed="9"/>
        <rFont val="Trebuchet MS"/>
        <family val="2"/>
      </rPr>
      <t xml:space="preserve">P </t>
    </r>
  </si>
  <si>
    <t>Año 4</t>
  </si>
  <si>
    <t>Año 5</t>
  </si>
  <si>
    <t>Amortización de préstamos a largo plazo</t>
  </si>
  <si>
    <t>Reembolso de otros capitales ajenos a l/p</t>
  </si>
  <si>
    <t>Deudas financieras a corto plazo</t>
  </si>
  <si>
    <t>Amortizaciones del período</t>
  </si>
  <si>
    <t>PREVISIONES DE TESORERÍA</t>
  </si>
  <si>
    <t>Variación Clientes</t>
  </si>
  <si>
    <t>Variación Otras cuentas a cobrar</t>
  </si>
  <si>
    <t>Variación Proveedores</t>
  </si>
  <si>
    <t>SALDO FINAL DE TESORERÍA</t>
  </si>
  <si>
    <t>RESULTADO DEL EJERCICIO ANTES DE IMPUESTOS</t>
  </si>
  <si>
    <t>Ajustes del resultado</t>
  </si>
  <si>
    <t>Imputación de subvenciones</t>
  </si>
  <si>
    <t>Variación de Existencias</t>
  </si>
  <si>
    <t>Variación de Deudores y otras cuentas a cobrar</t>
  </si>
  <si>
    <t>Variación de Acreedores y otras cuentas a pagar</t>
  </si>
  <si>
    <t>Variación Otras cuentas a pagar</t>
  </si>
  <si>
    <t>Otros flujos de efectivo de las actividades de explotación</t>
  </si>
  <si>
    <t>Pagos/cobros por el Impuesto sobre beneficios</t>
  </si>
  <si>
    <t>FLUJOS DE EFECTIVO DE LAS ACTIVIDADES DE EXPLOTACIÓN</t>
  </si>
  <si>
    <t>Pagos por inversiones</t>
  </si>
  <si>
    <t>Cobros por desinversiones</t>
  </si>
  <si>
    <t>FLUJOS DE EFECTIVO DE LAS ACTIVIDADES DE INVERSIÓN</t>
  </si>
  <si>
    <t>Amortización de préstamos y otras deudas financieras</t>
  </si>
  <si>
    <t>FLUJOS DE EFECTIVO DE LAS ACTIVIDADES DE FINANCIACIÓN</t>
  </si>
  <si>
    <t>AUMENTO/DISMINUCIÓN NETA DEL EFECTIVO</t>
  </si>
  <si>
    <t>RATIOS</t>
  </si>
  <si>
    <t>A. Actividad</t>
  </si>
  <si>
    <t xml:space="preserve">  Crecimiento de la Cifra de ventas (%)</t>
  </si>
  <si>
    <t xml:space="preserve">  Crecimiento Valor Añadido (%)</t>
  </si>
  <si>
    <t xml:space="preserve">  Rentabilidad económica (%)</t>
  </si>
  <si>
    <t xml:space="preserve">  Rotación de activos</t>
  </si>
  <si>
    <t xml:space="preserve">  Margen sobre ventas (%)</t>
  </si>
  <si>
    <t xml:space="preserve">  Rentabilidad financiera (%)</t>
  </si>
  <si>
    <t xml:space="preserve">  Gastos financieros (%)</t>
  </si>
  <si>
    <t xml:space="preserve">  Endeudamiento (%)</t>
  </si>
  <si>
    <t xml:space="preserve">  Liquidez general</t>
  </si>
  <si>
    <t xml:space="preserve">  Test ácido</t>
  </si>
  <si>
    <r>
      <t>B</t>
    </r>
    <r>
      <rPr>
        <b/>
        <vertAlign val="subscript"/>
        <sz val="11"/>
        <rFont val="Trebuchet MS"/>
        <family val="2"/>
      </rPr>
      <t>1</t>
    </r>
    <r>
      <rPr>
        <b/>
        <sz val="11"/>
        <rFont val="Trebuchet MS"/>
        <family val="2"/>
      </rPr>
      <t>. Rentabilidad (antes de impuestos)</t>
    </r>
  </si>
  <si>
    <r>
      <t>B</t>
    </r>
    <r>
      <rPr>
        <b/>
        <vertAlign val="subscript"/>
        <sz val="11"/>
        <rFont val="Trebuchet MS"/>
        <family val="2"/>
      </rPr>
      <t>2</t>
    </r>
    <r>
      <rPr>
        <b/>
        <sz val="11"/>
        <rFont val="Trebuchet MS"/>
        <family val="2"/>
      </rPr>
      <t>. Rentabilidad (después de impuestos)</t>
    </r>
  </si>
  <si>
    <t xml:space="preserve">  Inmediatez de la deuda (%)</t>
  </si>
  <si>
    <t xml:space="preserve">  Capacidad devolución (%)</t>
  </si>
  <si>
    <t xml:space="preserve">  Productividad (Ventas/Gastos de Personal)</t>
  </si>
  <si>
    <t>C. Ratios Cinéticos</t>
  </si>
  <si>
    <t>D. Solvencia</t>
  </si>
  <si>
    <t>E. Liquidez</t>
  </si>
  <si>
    <t>FONDO DE ROTACIÓN</t>
  </si>
  <si>
    <t xml:space="preserve">  Fondo de rotación</t>
  </si>
  <si>
    <t xml:space="preserve">  Fondo de maniobra</t>
  </si>
  <si>
    <t xml:space="preserve">  Tesorería</t>
  </si>
  <si>
    <t xml:space="preserve">  Crédito clientes</t>
  </si>
  <si>
    <t xml:space="preserve">  Crédito proveedores</t>
  </si>
  <si>
    <t xml:space="preserve">  Existencias comerciales</t>
  </si>
  <si>
    <t xml:space="preserve">  Existencias M. P.</t>
  </si>
  <si>
    <t xml:space="preserve">  Existencias P.T.</t>
  </si>
  <si>
    <t xml:space="preserve">  Rentabilidad económica (E.B.I.T./Activo)</t>
  </si>
  <si>
    <t xml:space="preserve">  Rotación de activos (Ingresos/Activo)</t>
  </si>
  <si>
    <t xml:space="preserve">  Margen sobre ventas (E.B.I.T./Ingresos)</t>
  </si>
  <si>
    <t xml:space="preserve">  Rentabilidad financiera (B.A.T./Patrimonio Neto)</t>
  </si>
  <si>
    <t>BENEFICIOS ANTES DE IMPUESTOS (B.A.T.)</t>
  </si>
  <si>
    <t>BENEFICIOS ANTES DE INTERESES E IMPUESTOS (E.B.I.T.)</t>
  </si>
  <si>
    <t>RESULTADO BRUTO (E.B.I.T.D.A.)</t>
  </si>
  <si>
    <t xml:space="preserve">  P.N. sobre permanentes (%)</t>
  </si>
  <si>
    <t xml:space="preserve">  Coeficiente Básico de Financiación</t>
  </si>
  <si>
    <t>SALDO</t>
  </si>
  <si>
    <t>Cambios en el capital circulante</t>
  </si>
  <si>
    <t>Otros cobros/pagos</t>
  </si>
  <si>
    <t>Variación neta de los préstamos a corto plazo y otras cuentas a cobrar/pagar</t>
  </si>
  <si>
    <t>ESTADO DE FLUJOS DE EFECTIVO</t>
  </si>
  <si>
    <t>¡¡ATENCIÓN!!</t>
  </si>
  <si>
    <t>Celdas de color BLANCO:</t>
  </si>
  <si>
    <t>Celdas de color VERDE:</t>
  </si>
  <si>
    <t>RESTO DE COLORES:</t>
  </si>
  <si>
    <t>Celdas PARA INTRODUCCIÓN DE DATOS</t>
  </si>
  <si>
    <t>Celdas que contienen datos, PERO QUE SE PUEDEN MODIFICAR</t>
  </si>
  <si>
    <t>Celdas protegidas Y QUE NO SE PUEDEN MODIFICAR</t>
  </si>
  <si>
    <t>Margen de contribución</t>
  </si>
  <si>
    <t>Margen de contribución en %</t>
  </si>
  <si>
    <t>Distancia al Punto de equilibrio</t>
  </si>
  <si>
    <t>Ventas período</t>
  </si>
  <si>
    <t>Nueva financiación</t>
  </si>
  <si>
    <t>TOTAL S.S.</t>
  </si>
  <si>
    <t xml:space="preserve">Inversiones financieras a largo plazo </t>
  </si>
  <si>
    <t xml:space="preserve">Activos por impuesto diferido </t>
  </si>
  <si>
    <t xml:space="preserve">Existencias </t>
  </si>
  <si>
    <t>Inversiones financieras a corto plazo</t>
  </si>
  <si>
    <t>Periodificaciones a corto plazo</t>
  </si>
  <si>
    <t xml:space="preserve">Efectivo y otros activos liquidos equivalentes </t>
  </si>
  <si>
    <t>Resultado del ejercicio</t>
  </si>
  <si>
    <t>Clientes por ventas y Prestaciones de servicios</t>
  </si>
  <si>
    <t>Accionistas (socios) por desembolsos exigidos</t>
  </si>
  <si>
    <t>Otros deudores</t>
  </si>
  <si>
    <t>Inversiones en empresas del grupo y asociadas l. p.</t>
  </si>
  <si>
    <t>Otras deudas a largo plazo.</t>
  </si>
  <si>
    <t>Pasivos por impuesto diferido</t>
  </si>
  <si>
    <t>Deudas con empresas del grupo y asociadas l. p.</t>
  </si>
  <si>
    <t xml:space="preserve">Inversiones en empresas del grupo y asociadas c. p. </t>
  </si>
  <si>
    <t>Provisiones a corto plazo</t>
  </si>
  <si>
    <t>Deudas con empresas del grupo y asociadas c. p.</t>
  </si>
  <si>
    <t>(Acciones y participaciones en patrimonio propias)</t>
  </si>
  <si>
    <t>Resultados de ejercicios anteriores</t>
  </si>
  <si>
    <t>Otras aportaciones de socios</t>
  </si>
  <si>
    <t>(Dividendo a cuenta)</t>
  </si>
  <si>
    <t>Provisiones a largo plazo</t>
  </si>
  <si>
    <t>Proveedores</t>
  </si>
  <si>
    <t>¡¡ATENCIÓN: SÓLO PARA EMPRESAS EXISTENTES!!</t>
  </si>
  <si>
    <t>BALANCE INICIAL = BALANCE HISTÓRICO FINAL</t>
  </si>
  <si>
    <t>CUOTA AMORT.</t>
  </si>
  <si>
    <t xml:space="preserve">  Aplicaciones informáticas</t>
  </si>
  <si>
    <t xml:space="preserve">  Inmovilizaciones realizadas por la propia empresa</t>
  </si>
  <si>
    <t xml:space="preserve">  Otras inversiones intangibles</t>
  </si>
  <si>
    <t xml:space="preserve">  Terrenos</t>
  </si>
  <si>
    <t xml:space="preserve">  Edificaciones</t>
  </si>
  <si>
    <t xml:space="preserve">  Instalaciones</t>
  </si>
  <si>
    <t xml:space="preserve">  Maquinaria</t>
  </si>
  <si>
    <t xml:space="preserve">  Mobiliario de oficina</t>
  </si>
  <si>
    <t xml:space="preserve">  Vehículos de transporte</t>
  </si>
  <si>
    <t xml:space="preserve">  Equipamientos informáticos</t>
  </si>
  <si>
    <t xml:space="preserve">  Otras inversiones materiales</t>
  </si>
  <si>
    <t xml:space="preserve">  Fianzas constituidas a l/p</t>
  </si>
  <si>
    <t xml:space="preserve">  Otras inversiones financieras</t>
  </si>
  <si>
    <t>NECESIDADES OPERATIVAS DE FONDOS (FONDO DE MANIOBRA)</t>
  </si>
  <si>
    <t>Resultados ejercicios anteriores</t>
  </si>
  <si>
    <t>Otros Fondos Propios</t>
  </si>
  <si>
    <t>Resultados del ejercicio</t>
  </si>
  <si>
    <t>Otros fondos propios</t>
  </si>
  <si>
    <t>Trabajos realizados para el propio inmovilizado</t>
  </si>
  <si>
    <t>Otros gastos/ingresos financieros</t>
  </si>
  <si>
    <t>Amortización inm. intangible</t>
  </si>
  <si>
    <t>Amortización inm. material</t>
  </si>
  <si>
    <t xml:space="preserve"> - LAS INVERSIONES INICIALES SON LAS NECESARIAS PARA EL INICIO DE LA ACTIVIDAD</t>
  </si>
  <si>
    <t xml:space="preserve"> - SE ENTIENDE QUE EL RESTO DE LAS INVERSIONES SE EFECTÚAN AL PRINCIPIO DE CADA PERÍODO</t>
  </si>
  <si>
    <t>AÑO 0A</t>
  </si>
  <si>
    <t>AÑO 0B</t>
  </si>
  <si>
    <t>INICIAL EMP. EXISTENTES</t>
  </si>
  <si>
    <t>INICIAL EMP. NUEVAS</t>
  </si>
  <si>
    <t>H.P. acreedora por retención IRPF</t>
  </si>
  <si>
    <t>Variaciones positivas del Fondo de Rotación</t>
  </si>
  <si>
    <t>Variaciones negativas del Fondo de Rotación</t>
  </si>
  <si>
    <t>INICIAL EMP. EXIST.</t>
  </si>
  <si>
    <t>INICIAL EMP. NUEVA</t>
  </si>
  <si>
    <t>Activos por impuesto diferido</t>
  </si>
  <si>
    <r>
      <t xml:space="preserve"> - SE ENTIENDE QUE LA FINANCIACIÓN SE OBTIENE AL </t>
    </r>
    <r>
      <rPr>
        <b/>
        <u/>
        <sz val="11"/>
        <color indexed="10"/>
        <rFont val="Trebuchet MS"/>
        <family val="2"/>
      </rPr>
      <t>PRINCIPIO DE CADA PERÍODO</t>
    </r>
  </si>
  <si>
    <t>Otras variaciones del Patrimonio Neto</t>
  </si>
  <si>
    <t>INVERSIONES INICIALES</t>
  </si>
  <si>
    <t>EMPRESAS EXISTENTES</t>
  </si>
  <si>
    <t>RESTO VIDA ÚTIL</t>
  </si>
  <si>
    <t>VIDA ÚTIL</t>
  </si>
  <si>
    <t>VIABLE 2020  -   INSTITUTO GALLEGO DE PROMOCIÓN ECONÓMICA ( IGAPE )</t>
  </si>
  <si>
    <t xml:space="preserve"> * Intangible</t>
  </si>
  <si>
    <t xml:space="preserve">    - Aplicaciones informáticas</t>
  </si>
  <si>
    <t xml:space="preserve">    - Inmovilizaciones realizadas por la propia empresa</t>
  </si>
  <si>
    <t xml:space="preserve">    - Otras inversiones intangibles</t>
  </si>
  <si>
    <t xml:space="preserve"> * Material</t>
  </si>
  <si>
    <t xml:space="preserve">    - Terrenos</t>
  </si>
  <si>
    <t xml:space="preserve">    - Edificaciones</t>
  </si>
  <si>
    <t xml:space="preserve">    - Instalaciones</t>
  </si>
  <si>
    <t xml:space="preserve">    - Maquinaria</t>
  </si>
  <si>
    <t xml:space="preserve">    - Mobiliario de oficina</t>
  </si>
  <si>
    <t xml:space="preserve">    - Vehículos de transporte</t>
  </si>
  <si>
    <t xml:space="preserve">    - Equipamientos informáticos</t>
  </si>
  <si>
    <t xml:space="preserve">    - Otras inversiones materiales</t>
  </si>
  <si>
    <t xml:space="preserve"> * Financiero</t>
  </si>
  <si>
    <t xml:space="preserve">    - Fianzas constituidas a l/p</t>
  </si>
  <si>
    <t xml:space="preserve">    - Otras inversiones financieras</t>
  </si>
  <si>
    <t>Existencias iniciales</t>
  </si>
  <si>
    <t>Materias primas</t>
  </si>
  <si>
    <t>DÍAS que tendremos las MERCADERÍAS en el almacén</t>
  </si>
  <si>
    <t>DÍAS que tendremos las MATERIAS PRIMAS en el almacén</t>
  </si>
  <si>
    <t>DÍAS que tendremos los PRODUCTOS EN CURSO en el proceso de producción</t>
  </si>
  <si>
    <t>DÍAS que tendremos OTROS APROVISIONAMIENTOS en el almacén</t>
  </si>
  <si>
    <t>DÍAS que tendremos los PRODUCTOS TERMINADOS en el almacén</t>
  </si>
  <si>
    <t>DÍAS que tardaremos en COBRAR</t>
  </si>
  <si>
    <t>IMPORTE EN EUROS de OTRAS CUENTAS A COBRAR</t>
  </si>
  <si>
    <t>IMPORTE EN EUROS de la TESORERÍA MÍNIMA requerida</t>
  </si>
  <si>
    <t>Importe (en €)</t>
  </si>
  <si>
    <t>Días</t>
  </si>
  <si>
    <t>DÍAS que tardaremos en PAGAR</t>
  </si>
  <si>
    <t>IMPORTE EN EUROS de OTRAS CUENTAS A PAGAR</t>
  </si>
  <si>
    <t>Balance</t>
  </si>
  <si>
    <t>Cat. 1</t>
  </si>
  <si>
    <t>Cat. 2</t>
  </si>
  <si>
    <t>PUNTO DE EQUILIBRIO</t>
  </si>
  <si>
    <t>Nombre de la empresa/proyecto</t>
  </si>
  <si>
    <t>Pagos a H. P.</t>
  </si>
  <si>
    <t>Pagos a O. S. S.</t>
  </si>
  <si>
    <t>VIABLE 2020 Emprendedores - INSTITUTO GALLEGO DE PROMOCIÓN ECONÓMICA ( IGAPE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</si>
</sst>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_);[Red]\(#,##0\)"/>
    <numFmt numFmtId="165" formatCode="#,##0;\(#,##0\)"/>
    <numFmt numFmtId="166" formatCode="#,##0.000"/>
    <numFmt numFmtId="167" formatCode="#,##0&quot; Pts&quot;;\(#,##0&quot; Pts&quot;\)"/>
    <numFmt numFmtId="168" formatCode="#,##0;[Red]\(#,##0\)"/>
    <numFmt numFmtId="169" formatCode="#,##0.0;\(#,##0.0\)"/>
    <numFmt numFmtId="170" formatCode="0.00%;[Red]\(0.00%\)"/>
    <numFmt numFmtId="172" formatCode="#,##0\ &quot;€&quot;"/>
    <numFmt numFmtId="173" formatCode="#,##0&quot; €&quot;;[Red]\(#,##0&quot; €&quot;\)"/>
    <numFmt numFmtId="174" formatCode="#,##0&quot; año(s)&quot;"/>
    <numFmt numFmtId="175" formatCode="#,##0.00%;[Red]\(#,##0.00%\)"/>
    <numFmt numFmtId="177" formatCode="#,##0&quot; días&quot;;[Red]\(#,##0&quot; días&quot;\)"/>
    <numFmt numFmtId="178" formatCode="#,##0\ _€"/>
    <numFmt numFmtId="179" formatCode="_-* #,##0"/>
    <numFmt numFmtId="180" formatCode="#,##0&quot; años&quot;"/>
    <numFmt numFmtId="181" formatCode="#,##0&quot; días&quot;;\(#,##0&quot; días&quot;\)"/>
    <numFmt numFmtId="184" formatCode="#,##0.00\ &quot;€&quot;"/>
    <numFmt numFmtId="185" formatCode="#,##0.00;[Red]\(#,##0.00\)"/>
  </numFmts>
  <fonts count="54">
    <font>
      <sz val="12"/>
      <name val="Times New Roman"/>
    </font>
    <font>
      <sz val="10"/>
      <name val="MS Sans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name val="Trebuchet MS"/>
      <family val="2"/>
    </font>
    <font>
      <sz val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4"/>
      <name val="Trebuchet MS"/>
      <family val="2"/>
    </font>
    <font>
      <u/>
      <sz val="10"/>
      <name val="Trebuchet MS"/>
      <family val="2"/>
    </font>
    <font>
      <b/>
      <sz val="16"/>
      <color indexed="9"/>
      <name val="Trebuchet MS"/>
      <family val="2"/>
    </font>
    <font>
      <b/>
      <sz val="11"/>
      <name val="Trebuchet MS"/>
      <family val="2"/>
    </font>
    <font>
      <b/>
      <u/>
      <sz val="12"/>
      <color indexed="9"/>
      <name val="Trebuchet MS"/>
      <family val="2"/>
    </font>
    <font>
      <b/>
      <sz val="10"/>
      <name val="Trebuchet MS"/>
      <family val="2"/>
    </font>
    <font>
      <b/>
      <sz val="12"/>
      <color indexed="9"/>
      <name val="Trebuchet MS"/>
      <family val="2"/>
    </font>
    <font>
      <b/>
      <i/>
      <u/>
      <sz val="12"/>
      <color indexed="9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Calibri"/>
      <family val="2"/>
    </font>
    <font>
      <sz val="12"/>
      <color indexed="9"/>
      <name val="Trebuchet MS"/>
      <family val="2"/>
    </font>
    <font>
      <b/>
      <sz val="9"/>
      <color indexed="81"/>
      <name val="Tahoma"/>
      <family val="2"/>
    </font>
    <font>
      <b/>
      <sz val="11"/>
      <color indexed="9"/>
      <name val="Trebuchet MS"/>
      <family val="2"/>
    </font>
    <font>
      <b/>
      <u/>
      <sz val="12"/>
      <color indexed="12"/>
      <name val="Trebuchet MS"/>
      <family val="2"/>
    </font>
    <font>
      <b/>
      <sz val="11"/>
      <color indexed="9"/>
      <name val="Trebuchet MS"/>
      <family val="2"/>
    </font>
    <font>
      <b/>
      <u/>
      <sz val="10"/>
      <color indexed="12"/>
      <name val="Trebuchet MS"/>
      <family val="2"/>
    </font>
    <font>
      <sz val="10"/>
      <name val="Calibri"/>
      <family val="2"/>
    </font>
    <font>
      <sz val="11"/>
      <color indexed="9"/>
      <name val="Trebuchet MS"/>
      <family val="2"/>
    </font>
    <font>
      <sz val="12"/>
      <name val="Times New Roman"/>
      <family val="1"/>
    </font>
    <font>
      <sz val="10"/>
      <name val="MS Sans Serif"/>
      <family val="2"/>
    </font>
    <font>
      <b/>
      <vertAlign val="subscript"/>
      <sz val="11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b/>
      <u/>
      <sz val="11"/>
      <color indexed="10"/>
      <name val="Trebuchet MS"/>
      <family val="2"/>
    </font>
    <font>
      <b/>
      <sz val="9"/>
      <name val="Trebuchet MS"/>
      <family val="2"/>
    </font>
    <font>
      <sz val="11"/>
      <color indexed="9"/>
      <name val="Trebuchet MS"/>
      <family val="2"/>
    </font>
    <font>
      <b/>
      <sz val="11"/>
      <color indexed="9"/>
      <name val="Trebuchet MS"/>
      <family val="2"/>
    </font>
    <font>
      <b/>
      <sz val="12"/>
      <color indexed="9"/>
      <name val="Trebuchet MS"/>
      <family val="2"/>
    </font>
    <font>
      <sz val="12"/>
      <color indexed="9"/>
      <name val="Trebuchet MS"/>
      <family val="2"/>
    </font>
    <font>
      <sz val="10"/>
      <color indexed="9"/>
      <name val="Trebuchet MS"/>
      <family val="2"/>
    </font>
    <font>
      <b/>
      <u/>
      <sz val="11"/>
      <color indexed="9"/>
      <name val="Trebuchet MS"/>
      <family val="2"/>
    </font>
    <font>
      <b/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u/>
      <sz val="12"/>
      <color indexed="9"/>
      <name val="Trebuchet MS"/>
      <family val="2"/>
    </font>
    <font>
      <sz val="16"/>
      <color indexed="9"/>
      <name val="Trebuchet MS"/>
      <family val="2"/>
    </font>
    <font>
      <b/>
      <sz val="11"/>
      <color indexed="10"/>
      <name val="Trebuchet MS"/>
      <family val="2"/>
    </font>
    <font>
      <b/>
      <sz val="9"/>
      <color indexed="9"/>
      <name val="Trebuchet MS"/>
      <family val="2"/>
    </font>
    <font>
      <b/>
      <sz val="12"/>
      <color indexed="10"/>
      <name val="Trebuchet MS"/>
      <family val="2"/>
    </font>
    <font>
      <sz val="14"/>
      <color indexed="9"/>
      <name val="Trebuchet MS"/>
      <family val="2"/>
    </font>
    <font>
      <sz val="8"/>
      <name val="Times New Roman"/>
      <family val="1"/>
    </font>
    <font>
      <sz val="8"/>
      <name val="Tahoma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48"/>
      <name val="Arial"/>
      <family val="2"/>
    </font>
    <font>
      <b/>
      <u/>
      <sz val="9"/>
      <color indexed="9"/>
      <name val="Trebuchet MS"/>
      <family val="2"/>
    </font>
    <font>
      <sz val="9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darkGray">
        <fgColor indexed="9"/>
        <bgColor indexed="13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99"/>
        <bgColor indexed="64"/>
      </patternFill>
    </fill>
  </fills>
  <borders count="9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27"/>
      </bottom>
      <diagonal/>
    </border>
    <border>
      <left/>
      <right/>
      <top style="thin">
        <color indexed="27"/>
      </top>
      <bottom style="thin">
        <color indexed="2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44"/>
      </bottom>
      <diagonal/>
    </border>
    <border>
      <left/>
      <right style="thin">
        <color indexed="64"/>
      </right>
      <top style="thin">
        <color indexed="64"/>
      </top>
      <bottom style="thin">
        <color indexed="44"/>
      </bottom>
      <diagonal/>
    </border>
    <border>
      <left/>
      <right style="thin">
        <color indexed="64"/>
      </right>
      <top style="thin">
        <color indexed="44"/>
      </top>
      <bottom style="thin">
        <color indexed="44"/>
      </bottom>
      <diagonal/>
    </border>
  </borders>
  <cellStyleXfs count="13">
    <xf numFmtId="165" fontId="0" fillId="0" borderId="0"/>
    <xf numFmtId="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ill="0" applyBorder="0" applyAlignment="0" applyProtection="0"/>
    <xf numFmtId="165" fontId="26" fillId="0" borderId="0"/>
    <xf numFmtId="0" fontId="27" fillId="0" borderId="0"/>
    <xf numFmtId="3" fontId="2" fillId="0" borderId="0"/>
    <xf numFmtId="3" fontId="2" fillId="0" borderId="0"/>
    <xf numFmtId="3" fontId="2" fillId="0" borderId="0"/>
    <xf numFmtId="3" fontId="2" fillId="0" borderId="0"/>
    <xf numFmtId="9" fontId="1" fillId="0" borderId="0" applyFont="0" applyFill="0" applyBorder="0" applyAlignment="0" applyProtection="0"/>
    <xf numFmtId="10" fontId="3" fillId="2" borderId="0" applyProtection="0">
      <alignment horizontal="center"/>
    </xf>
    <xf numFmtId="10" fontId="1" fillId="0" borderId="0" applyFont="0" applyFill="0" applyBorder="0" applyAlignment="0" applyProtection="0"/>
  </cellStyleXfs>
  <cellXfs count="1103">
    <xf numFmtId="165" fontId="0" fillId="0" borderId="0" xfId="0"/>
    <xf numFmtId="3" fontId="10" fillId="3" borderId="0" xfId="9" applyFont="1" applyFill="1" applyAlignment="1" applyProtection="1">
      <alignment vertical="center" wrapText="1"/>
      <protection hidden="1"/>
    </xf>
    <xf numFmtId="3" fontId="4" fillId="3" borderId="0" xfId="9" applyFont="1" applyFill="1" applyAlignment="1" applyProtection="1">
      <alignment vertical="center" wrapText="1"/>
      <protection hidden="1"/>
    </xf>
    <xf numFmtId="3" fontId="4" fillId="3" borderId="0" xfId="9" applyFont="1" applyFill="1" applyBorder="1" applyAlignment="1" applyProtection="1">
      <alignment vertical="center" wrapText="1"/>
      <protection hidden="1"/>
    </xf>
    <xf numFmtId="3" fontId="5" fillId="3" borderId="0" xfId="9" applyFont="1" applyFill="1" applyAlignment="1" applyProtection="1">
      <alignment vertical="center" wrapText="1"/>
      <protection hidden="1"/>
    </xf>
    <xf numFmtId="3" fontId="5" fillId="3" borderId="0" xfId="9" applyFont="1" applyFill="1" applyBorder="1" applyAlignment="1" applyProtection="1">
      <alignment vertical="center" wrapText="1"/>
      <protection hidden="1"/>
    </xf>
    <xf numFmtId="3" fontId="5" fillId="3" borderId="0" xfId="9" applyFont="1" applyFill="1" applyAlignment="1" applyProtection="1">
      <alignment horizontal="center" vertical="center" wrapText="1"/>
      <protection hidden="1"/>
    </xf>
    <xf numFmtId="165" fontId="4" fillId="3" borderId="0" xfId="0" applyFont="1" applyFill="1" applyAlignment="1" applyProtection="1">
      <alignment vertical="center"/>
      <protection hidden="1"/>
    </xf>
    <xf numFmtId="3" fontId="4" fillId="3" borderId="0" xfId="6" applyFont="1" applyFill="1" applyAlignment="1" applyProtection="1">
      <alignment vertical="center"/>
      <protection hidden="1"/>
    </xf>
    <xf numFmtId="3" fontId="18" fillId="3" borderId="0" xfId="6" applyFont="1" applyFill="1" applyAlignment="1" applyProtection="1">
      <alignment vertical="center"/>
      <protection hidden="1"/>
    </xf>
    <xf numFmtId="3" fontId="4" fillId="3" borderId="0" xfId="6" applyFont="1" applyFill="1" applyBorder="1" applyAlignment="1" applyProtection="1">
      <alignment horizontal="left" vertical="center"/>
      <protection hidden="1"/>
    </xf>
    <xf numFmtId="3" fontId="4" fillId="3" borderId="0" xfId="6" applyFont="1" applyFill="1" applyBorder="1" applyAlignment="1" applyProtection="1">
      <alignment vertical="center"/>
      <protection hidden="1"/>
    </xf>
    <xf numFmtId="3" fontId="11" fillId="3" borderId="0" xfId="6" applyFont="1" applyFill="1" applyAlignment="1" applyProtection="1">
      <alignment vertical="center"/>
      <protection hidden="1"/>
    </xf>
    <xf numFmtId="3" fontId="4" fillId="3" borderId="0" xfId="6" applyFont="1" applyFill="1" applyAlignment="1" applyProtection="1">
      <alignment horizontal="center" vertical="center"/>
      <protection hidden="1"/>
    </xf>
    <xf numFmtId="3" fontId="11" fillId="3" borderId="0" xfId="6" applyFont="1" applyFill="1" applyAlignment="1" applyProtection="1">
      <alignment horizontal="center" vertical="center"/>
      <protection hidden="1"/>
    </xf>
    <xf numFmtId="3" fontId="6" fillId="3" borderId="0" xfId="8" applyFont="1" applyFill="1" applyAlignment="1" applyProtection="1">
      <alignment vertical="center" wrapText="1"/>
      <protection hidden="1"/>
    </xf>
    <xf numFmtId="3" fontId="4" fillId="3" borderId="0" xfId="8" applyFont="1" applyFill="1" applyAlignment="1" applyProtection="1">
      <alignment vertical="center" wrapText="1"/>
      <protection hidden="1"/>
    </xf>
    <xf numFmtId="3" fontId="4" fillId="3" borderId="0" xfId="8" applyFont="1" applyFill="1" applyBorder="1" applyAlignment="1" applyProtection="1">
      <alignment horizontal="left" vertical="center" wrapText="1"/>
      <protection hidden="1"/>
    </xf>
    <xf numFmtId="3" fontId="4" fillId="3" borderId="0" xfId="8" applyFont="1" applyFill="1" applyBorder="1" applyAlignment="1" applyProtection="1">
      <alignment horizontal="center" vertical="center" wrapText="1"/>
      <protection hidden="1"/>
    </xf>
    <xf numFmtId="165" fontId="4" fillId="3" borderId="0" xfId="0" applyFont="1" applyFill="1" applyAlignment="1" applyProtection="1">
      <alignment horizontal="center" vertical="center" wrapText="1"/>
      <protection hidden="1"/>
    </xf>
    <xf numFmtId="3" fontId="4" fillId="3" borderId="0" xfId="8" applyFont="1" applyFill="1" applyAlignment="1" applyProtection="1">
      <alignment horizontal="center" vertical="center" wrapText="1"/>
      <protection hidden="1"/>
    </xf>
    <xf numFmtId="3" fontId="4" fillId="3" borderId="1" xfId="8" applyFont="1" applyFill="1" applyBorder="1" applyAlignment="1" applyProtection="1">
      <alignment horizontal="center" vertical="center" wrapText="1"/>
      <protection hidden="1"/>
    </xf>
    <xf numFmtId="3" fontId="4" fillId="3" borderId="0" xfId="8" applyFont="1" applyFill="1" applyBorder="1" applyAlignment="1" applyProtection="1">
      <alignment vertical="center" wrapText="1"/>
      <protection hidden="1"/>
    </xf>
    <xf numFmtId="165" fontId="4" fillId="3" borderId="0" xfId="0" applyFont="1" applyFill="1" applyAlignment="1" applyProtection="1">
      <alignment vertical="center" wrapText="1"/>
      <protection hidden="1"/>
    </xf>
    <xf numFmtId="3" fontId="7" fillId="3" borderId="0" xfId="8" applyFont="1" applyFill="1" applyBorder="1" applyAlignment="1" applyProtection="1">
      <alignment vertical="center" wrapText="1"/>
      <protection hidden="1"/>
    </xf>
    <xf numFmtId="3" fontId="7" fillId="3" borderId="0" xfId="8" applyFont="1" applyFill="1" applyAlignment="1" applyProtection="1">
      <alignment vertical="center" wrapText="1"/>
      <protection hidden="1"/>
    </xf>
    <xf numFmtId="3" fontId="4" fillId="3" borderId="2" xfId="8" applyFont="1" applyFill="1" applyBorder="1" applyAlignment="1" applyProtection="1">
      <alignment horizontal="center" vertical="center" wrapText="1"/>
      <protection hidden="1"/>
    </xf>
    <xf numFmtId="3" fontId="11" fillId="3" borderId="0" xfId="8" applyFont="1" applyFill="1" applyAlignment="1" applyProtection="1">
      <alignment vertical="center" wrapText="1"/>
      <protection hidden="1"/>
    </xf>
    <xf numFmtId="3" fontId="4" fillId="3" borderId="3" xfId="8" applyFont="1" applyFill="1" applyBorder="1" applyAlignment="1" applyProtection="1">
      <alignment horizontal="center" vertical="center" wrapText="1"/>
      <protection hidden="1"/>
    </xf>
    <xf numFmtId="3" fontId="4" fillId="3" borderId="4" xfId="8" applyFont="1" applyFill="1" applyBorder="1" applyAlignment="1" applyProtection="1">
      <alignment horizontal="center" vertical="center" wrapText="1"/>
      <protection hidden="1"/>
    </xf>
    <xf numFmtId="3" fontId="4" fillId="3" borderId="5" xfId="8" applyFont="1" applyFill="1" applyBorder="1" applyAlignment="1" applyProtection="1">
      <alignment horizontal="center" vertical="center" wrapText="1"/>
      <protection hidden="1"/>
    </xf>
    <xf numFmtId="3" fontId="11" fillId="3" borderId="6" xfId="8" applyFont="1" applyFill="1" applyBorder="1" applyAlignment="1" applyProtection="1">
      <alignment horizontal="center" vertical="center" wrapText="1"/>
      <protection hidden="1"/>
    </xf>
    <xf numFmtId="3" fontId="11" fillId="3" borderId="7" xfId="8" applyFont="1" applyFill="1" applyBorder="1" applyAlignment="1" applyProtection="1">
      <alignment horizontal="center" vertical="center" wrapText="1"/>
      <protection hidden="1"/>
    </xf>
    <xf numFmtId="3" fontId="11" fillId="3" borderId="7" xfId="8" applyFont="1" applyFill="1" applyBorder="1" applyAlignment="1" applyProtection="1">
      <alignment vertical="center" wrapText="1"/>
      <protection hidden="1"/>
    </xf>
    <xf numFmtId="3" fontId="11" fillId="3" borderId="8" xfId="8" applyFont="1" applyFill="1" applyBorder="1" applyAlignment="1" applyProtection="1">
      <alignment vertical="center" wrapText="1"/>
      <protection hidden="1"/>
    </xf>
    <xf numFmtId="3" fontId="6" fillId="3" borderId="0" xfId="8" applyFont="1" applyFill="1" applyAlignment="1" applyProtection="1">
      <alignment horizontal="center" vertical="center" wrapText="1"/>
      <protection hidden="1"/>
    </xf>
    <xf numFmtId="3" fontId="11" fillId="3" borderId="8" xfId="8" applyFont="1" applyFill="1" applyBorder="1" applyAlignment="1" applyProtection="1">
      <alignment horizontal="center" vertical="center" wrapText="1"/>
      <protection hidden="1"/>
    </xf>
    <xf numFmtId="3" fontId="11" fillId="3" borderId="3" xfId="8" applyFont="1" applyFill="1" applyBorder="1" applyAlignment="1" applyProtection="1">
      <alignment horizontal="center" vertical="center" wrapText="1"/>
      <protection hidden="1"/>
    </xf>
    <xf numFmtId="3" fontId="11" fillId="3" borderId="4" xfId="8" applyFont="1" applyFill="1" applyBorder="1" applyAlignment="1" applyProtection="1">
      <alignment horizontal="center" vertical="center" wrapText="1"/>
      <protection hidden="1"/>
    </xf>
    <xf numFmtId="3" fontId="11" fillId="3" borderId="5" xfId="8" applyFont="1" applyFill="1" applyBorder="1" applyAlignment="1" applyProtection="1">
      <alignment horizontal="center" vertical="center" wrapText="1"/>
      <protection hidden="1"/>
    </xf>
    <xf numFmtId="3" fontId="7" fillId="3" borderId="9" xfId="8" applyFont="1" applyFill="1" applyBorder="1" applyAlignment="1" applyProtection="1">
      <alignment horizontal="center" vertical="center" wrapText="1"/>
      <protection hidden="1"/>
    </xf>
    <xf numFmtId="3" fontId="4" fillId="3" borderId="9" xfId="8" applyFont="1" applyFill="1" applyBorder="1" applyAlignment="1" applyProtection="1">
      <alignment horizontal="center" vertical="center" wrapText="1"/>
      <protection hidden="1"/>
    </xf>
    <xf numFmtId="3" fontId="11" fillId="3" borderId="9" xfId="8" applyFont="1" applyFill="1" applyBorder="1" applyAlignment="1" applyProtection="1">
      <alignment horizontal="center" vertical="center" wrapText="1"/>
      <protection hidden="1"/>
    </xf>
    <xf numFmtId="3" fontId="11" fillId="3" borderId="10" xfId="6" applyFont="1" applyFill="1" applyBorder="1" applyAlignment="1" applyProtection="1">
      <alignment horizontal="left" vertical="center"/>
      <protection hidden="1"/>
    </xf>
    <xf numFmtId="3" fontId="4" fillId="3" borderId="11" xfId="6" applyFont="1" applyFill="1" applyBorder="1" applyAlignment="1" applyProtection="1">
      <alignment horizontal="center" vertical="center" wrapText="1"/>
      <protection hidden="1"/>
    </xf>
    <xf numFmtId="3" fontId="4" fillId="3" borderId="12" xfId="6" applyFont="1" applyFill="1" applyBorder="1" applyAlignment="1" applyProtection="1">
      <alignment vertical="center"/>
      <protection hidden="1"/>
    </xf>
    <xf numFmtId="3" fontId="4" fillId="3" borderId="13" xfId="6" applyFont="1" applyFill="1" applyBorder="1" applyAlignment="1" applyProtection="1">
      <alignment horizontal="center" vertical="center" wrapText="1"/>
      <protection hidden="1"/>
    </xf>
    <xf numFmtId="3" fontId="4" fillId="3" borderId="14" xfId="6" applyFont="1" applyFill="1" applyBorder="1" applyAlignment="1" applyProtection="1">
      <alignment horizontal="center" vertical="center" wrapText="1"/>
      <protection hidden="1"/>
    </xf>
    <xf numFmtId="3" fontId="4" fillId="3" borderId="15" xfId="6" applyFont="1" applyFill="1" applyBorder="1" applyAlignment="1" applyProtection="1">
      <alignment vertical="center"/>
      <protection hidden="1"/>
    </xf>
    <xf numFmtId="3" fontId="11" fillId="3" borderId="16" xfId="6" applyFont="1" applyFill="1" applyBorder="1" applyAlignment="1" applyProtection="1">
      <alignment horizontal="right" vertical="center"/>
      <protection hidden="1"/>
    </xf>
    <xf numFmtId="3" fontId="11" fillId="3" borderId="7" xfId="6" applyFont="1" applyFill="1" applyBorder="1" applyAlignment="1" applyProtection="1">
      <alignment vertical="center"/>
      <protection hidden="1"/>
    </xf>
    <xf numFmtId="3" fontId="11" fillId="3" borderId="17" xfId="6" applyFont="1" applyFill="1" applyBorder="1" applyAlignment="1" applyProtection="1">
      <alignment vertical="center"/>
      <protection hidden="1"/>
    </xf>
    <xf numFmtId="165" fontId="11" fillId="3" borderId="10" xfId="0" applyFont="1" applyFill="1" applyBorder="1" applyAlignment="1" applyProtection="1">
      <alignment vertical="center"/>
      <protection hidden="1"/>
    </xf>
    <xf numFmtId="165" fontId="11" fillId="3" borderId="18" xfId="0" applyFont="1" applyFill="1" applyBorder="1" applyAlignment="1" applyProtection="1">
      <alignment vertical="center"/>
      <protection hidden="1"/>
    </xf>
    <xf numFmtId="3" fontId="7" fillId="3" borderId="0" xfId="6" applyFont="1" applyFill="1" applyAlignment="1" applyProtection="1">
      <alignment vertical="center"/>
      <protection hidden="1"/>
    </xf>
    <xf numFmtId="3" fontId="7" fillId="3" borderId="0" xfId="6" applyFont="1" applyFill="1" applyBorder="1" applyAlignment="1" applyProtection="1">
      <alignment vertical="center"/>
      <protection hidden="1"/>
    </xf>
    <xf numFmtId="3" fontId="7" fillId="3" borderId="15" xfId="6" applyFont="1" applyFill="1" applyBorder="1" applyAlignment="1" applyProtection="1">
      <alignment vertical="center"/>
      <protection hidden="1"/>
    </xf>
    <xf numFmtId="3" fontId="4" fillId="3" borderId="19" xfId="9" applyFont="1" applyFill="1" applyBorder="1" applyAlignment="1" applyProtection="1">
      <alignment horizontal="center" vertical="center" wrapText="1"/>
      <protection hidden="1"/>
    </xf>
    <xf numFmtId="3" fontId="11" fillId="3" borderId="0" xfId="6" applyFont="1" applyFill="1" applyBorder="1" applyAlignment="1" applyProtection="1">
      <alignment vertical="center"/>
      <protection hidden="1"/>
    </xf>
    <xf numFmtId="3" fontId="11" fillId="3" borderId="15" xfId="6" applyFont="1" applyFill="1" applyBorder="1" applyAlignment="1" applyProtection="1">
      <alignment vertical="center"/>
      <protection hidden="1"/>
    </xf>
    <xf numFmtId="3" fontId="34" fillId="4" borderId="20" xfId="9" applyFont="1" applyFill="1" applyBorder="1" applyAlignment="1" applyProtection="1">
      <alignment horizontal="center" vertical="center" wrapText="1"/>
      <protection hidden="1"/>
    </xf>
    <xf numFmtId="3" fontId="34" fillId="4" borderId="21" xfId="9" applyFont="1" applyFill="1" applyBorder="1" applyAlignment="1" applyProtection="1">
      <alignment horizontal="center" vertical="center" wrapText="1"/>
      <protection hidden="1"/>
    </xf>
    <xf numFmtId="165" fontId="6" fillId="3" borderId="0" xfId="0" applyFont="1" applyFill="1" applyBorder="1" applyAlignment="1" applyProtection="1">
      <alignment vertical="center"/>
      <protection hidden="1"/>
    </xf>
    <xf numFmtId="3" fontId="7" fillId="3" borderId="22" xfId="9" applyFont="1" applyFill="1" applyBorder="1" applyAlignment="1" applyProtection="1">
      <alignment horizontal="center" vertical="center" wrapText="1"/>
      <protection hidden="1"/>
    </xf>
    <xf numFmtId="3" fontId="7" fillId="3" borderId="20" xfId="9" applyFont="1" applyFill="1" applyBorder="1" applyAlignment="1" applyProtection="1">
      <alignment horizontal="center" vertical="center" wrapText="1"/>
      <protection hidden="1"/>
    </xf>
    <xf numFmtId="3" fontId="11" fillId="3" borderId="18" xfId="9" applyFont="1" applyFill="1" applyBorder="1" applyAlignment="1" applyProtection="1">
      <alignment horizontal="center" vertical="center" wrapText="1"/>
      <protection hidden="1"/>
    </xf>
    <xf numFmtId="3" fontId="11" fillId="3" borderId="23" xfId="9" applyFont="1" applyFill="1" applyBorder="1" applyAlignment="1" applyProtection="1">
      <alignment horizontal="center" vertical="center" wrapText="1"/>
      <protection hidden="1"/>
    </xf>
    <xf numFmtId="3" fontId="11" fillId="3" borderId="16" xfId="9" applyFont="1" applyFill="1" applyBorder="1" applyAlignment="1" applyProtection="1">
      <alignment horizontal="center" vertical="center" wrapText="1"/>
      <protection hidden="1"/>
    </xf>
    <xf numFmtId="3" fontId="11" fillId="3" borderId="22" xfId="9" applyFont="1" applyFill="1" applyBorder="1" applyAlignment="1" applyProtection="1">
      <alignment horizontal="center" vertical="center" wrapText="1"/>
      <protection hidden="1"/>
    </xf>
    <xf numFmtId="3" fontId="11" fillId="3" borderId="20" xfId="9" applyFont="1" applyFill="1" applyBorder="1" applyAlignment="1" applyProtection="1">
      <alignment horizontal="center" vertical="center" wrapText="1"/>
      <protection hidden="1"/>
    </xf>
    <xf numFmtId="165" fontId="8" fillId="3" borderId="0" xfId="0" applyFont="1" applyFill="1" applyBorder="1" applyAlignment="1" applyProtection="1">
      <alignment vertical="center"/>
      <protection hidden="1"/>
    </xf>
    <xf numFmtId="165" fontId="11" fillId="3" borderId="0" xfId="0" applyFont="1" applyFill="1" applyBorder="1" applyAlignment="1" applyProtection="1">
      <alignment vertical="center"/>
      <protection hidden="1"/>
    </xf>
    <xf numFmtId="165" fontId="7" fillId="3" borderId="0" xfId="0" applyFont="1" applyFill="1" applyBorder="1" applyAlignment="1" applyProtection="1">
      <alignment vertical="center"/>
      <protection hidden="1"/>
    </xf>
    <xf numFmtId="165" fontId="4" fillId="3" borderId="0" xfId="0" applyFont="1" applyFill="1" applyBorder="1" applyAlignment="1" applyProtection="1">
      <alignment vertical="center"/>
      <protection hidden="1"/>
    </xf>
    <xf numFmtId="165" fontId="6" fillId="3" borderId="0" xfId="0" applyFont="1" applyFill="1" applyAlignment="1" applyProtection="1">
      <alignment vertical="center"/>
      <protection hidden="1"/>
    </xf>
    <xf numFmtId="165" fontId="4" fillId="3" borderId="0" xfId="0" applyFont="1" applyFill="1" applyProtection="1">
      <protection hidden="1"/>
    </xf>
    <xf numFmtId="165" fontId="7" fillId="3" borderId="9" xfId="0" applyFont="1" applyFill="1" applyBorder="1" applyAlignment="1" applyProtection="1">
      <alignment horizontal="center" vertical="center"/>
      <protection hidden="1"/>
    </xf>
    <xf numFmtId="165" fontId="11" fillId="3" borderId="3" xfId="0" applyFont="1" applyFill="1" applyBorder="1" applyAlignment="1" applyProtection="1">
      <alignment vertical="center"/>
      <protection hidden="1"/>
    </xf>
    <xf numFmtId="165" fontId="35" fillId="4" borderId="4" xfId="0" applyFont="1" applyFill="1" applyBorder="1" applyAlignment="1" applyProtection="1">
      <alignment vertical="center"/>
      <protection hidden="1"/>
    </xf>
    <xf numFmtId="165" fontId="11" fillId="3" borderId="6" xfId="0" applyFont="1" applyFill="1" applyBorder="1" applyAlignment="1" applyProtection="1">
      <alignment vertical="center"/>
      <protection hidden="1"/>
    </xf>
    <xf numFmtId="165" fontId="11" fillId="3" borderId="7" xfId="0" applyFont="1" applyFill="1" applyBorder="1" applyAlignment="1" applyProtection="1">
      <alignment horizontal="right" vertical="center"/>
      <protection hidden="1"/>
    </xf>
    <xf numFmtId="165" fontId="11" fillId="3" borderId="17" xfId="0" applyFont="1" applyFill="1" applyBorder="1" applyAlignment="1" applyProtection="1">
      <alignment vertical="center"/>
      <protection hidden="1"/>
    </xf>
    <xf numFmtId="165" fontId="11" fillId="3" borderId="7" xfId="0" applyFont="1" applyFill="1" applyBorder="1" applyAlignment="1" applyProtection="1">
      <alignment vertical="center"/>
      <protection hidden="1"/>
    </xf>
    <xf numFmtId="165" fontId="11" fillId="3" borderId="24" xfId="0" applyFont="1" applyFill="1" applyBorder="1" applyAlignment="1" applyProtection="1">
      <alignment vertical="center"/>
      <protection hidden="1"/>
    </xf>
    <xf numFmtId="165" fontId="11" fillId="3" borderId="8" xfId="0" applyFont="1" applyFill="1" applyBorder="1" applyAlignment="1" applyProtection="1">
      <alignment vertical="center"/>
      <protection hidden="1"/>
    </xf>
    <xf numFmtId="165" fontId="11" fillId="3" borderId="0" xfId="0" applyFont="1" applyFill="1" applyBorder="1" applyAlignment="1" applyProtection="1">
      <alignment horizontal="right" vertical="center"/>
      <protection hidden="1"/>
    </xf>
    <xf numFmtId="3" fontId="5" fillId="3" borderId="23" xfId="9" applyFont="1" applyFill="1" applyBorder="1" applyAlignment="1" applyProtection="1">
      <alignment vertical="center" wrapText="1"/>
      <protection hidden="1"/>
    </xf>
    <xf numFmtId="3" fontId="5" fillId="3" borderId="9" xfId="9" applyFont="1" applyFill="1" applyBorder="1" applyAlignment="1" applyProtection="1">
      <alignment horizontal="center" vertical="center" wrapText="1"/>
      <protection hidden="1"/>
    </xf>
    <xf numFmtId="3" fontId="5" fillId="3" borderId="25" xfId="9" applyFont="1" applyFill="1" applyBorder="1" applyAlignment="1" applyProtection="1">
      <alignment horizontal="center" vertical="center" wrapText="1"/>
      <protection hidden="1"/>
    </xf>
    <xf numFmtId="3" fontId="5" fillId="3" borderId="26" xfId="9" applyFont="1" applyFill="1" applyBorder="1" applyAlignment="1" applyProtection="1">
      <alignment vertical="center" wrapText="1"/>
      <protection hidden="1"/>
    </xf>
    <xf numFmtId="3" fontId="5" fillId="3" borderId="27" xfId="9" applyFont="1" applyFill="1" applyBorder="1" applyAlignment="1" applyProtection="1">
      <alignment horizontal="center" vertical="center" wrapText="1"/>
      <protection hidden="1"/>
    </xf>
    <xf numFmtId="3" fontId="5" fillId="3" borderId="28" xfId="9" applyFont="1" applyFill="1" applyBorder="1" applyAlignment="1" applyProtection="1">
      <alignment horizontal="center" vertical="center" wrapText="1"/>
      <protection hidden="1"/>
    </xf>
    <xf numFmtId="3" fontId="13" fillId="3" borderId="22" xfId="9" applyFont="1" applyFill="1" applyBorder="1" applyAlignment="1" applyProtection="1">
      <alignment vertical="center" wrapText="1"/>
      <protection hidden="1"/>
    </xf>
    <xf numFmtId="3" fontId="13" fillId="3" borderId="20" xfId="9" applyFont="1" applyFill="1" applyBorder="1" applyAlignment="1" applyProtection="1">
      <alignment horizontal="center" vertical="center" wrapText="1"/>
      <protection hidden="1"/>
    </xf>
    <xf numFmtId="3" fontId="13" fillId="3" borderId="21" xfId="9" applyFont="1" applyFill="1" applyBorder="1" applyAlignment="1" applyProtection="1">
      <alignment horizontal="center" vertical="center" wrapText="1"/>
      <protection hidden="1"/>
    </xf>
    <xf numFmtId="3" fontId="5" fillId="3" borderId="29" xfId="9" applyFont="1" applyFill="1" applyBorder="1" applyAlignment="1" applyProtection="1">
      <alignment vertical="center" wrapText="1"/>
      <protection hidden="1"/>
    </xf>
    <xf numFmtId="3" fontId="5" fillId="3" borderId="30" xfId="9" applyFont="1" applyFill="1" applyBorder="1" applyAlignment="1" applyProtection="1">
      <alignment horizontal="center" vertical="center" wrapText="1"/>
      <protection hidden="1"/>
    </xf>
    <xf numFmtId="3" fontId="5" fillId="3" borderId="31" xfId="9" applyFont="1" applyFill="1" applyBorder="1" applyAlignment="1" applyProtection="1">
      <alignment horizontal="center" vertical="center" wrapText="1"/>
      <protection hidden="1"/>
    </xf>
    <xf numFmtId="3" fontId="11" fillId="3" borderId="18" xfId="6" applyFont="1" applyFill="1" applyBorder="1" applyAlignment="1" applyProtection="1">
      <alignment vertical="center"/>
      <protection hidden="1"/>
    </xf>
    <xf numFmtId="3" fontId="11" fillId="3" borderId="19" xfId="6" applyFont="1" applyFill="1" applyBorder="1" applyAlignment="1" applyProtection="1">
      <alignment horizontal="center" vertical="center"/>
      <protection hidden="1"/>
    </xf>
    <xf numFmtId="3" fontId="11" fillId="3" borderId="32" xfId="6" applyFont="1" applyFill="1" applyBorder="1" applyAlignment="1" applyProtection="1">
      <alignment horizontal="center" vertical="center"/>
      <protection hidden="1"/>
    </xf>
    <xf numFmtId="3" fontId="11" fillId="3" borderId="16" xfId="6" applyFont="1" applyFill="1" applyBorder="1" applyAlignment="1" applyProtection="1">
      <alignment vertical="center"/>
      <protection hidden="1"/>
    </xf>
    <xf numFmtId="3" fontId="11" fillId="3" borderId="33" xfId="6" applyFont="1" applyFill="1" applyBorder="1" applyAlignment="1" applyProtection="1">
      <alignment horizontal="center" vertical="center"/>
      <protection hidden="1"/>
    </xf>
    <xf numFmtId="3" fontId="11" fillId="3" borderId="34" xfId="6" applyFont="1" applyFill="1" applyBorder="1" applyAlignment="1" applyProtection="1">
      <alignment horizontal="center" vertical="center"/>
      <protection hidden="1"/>
    </xf>
    <xf numFmtId="165" fontId="6" fillId="3" borderId="9" xfId="0" applyFont="1" applyFill="1" applyBorder="1" applyAlignment="1" applyProtection="1">
      <alignment vertical="center"/>
      <protection hidden="1"/>
    </xf>
    <xf numFmtId="165" fontId="6" fillId="3" borderId="30" xfId="0" applyFont="1" applyFill="1" applyBorder="1" applyAlignment="1" applyProtection="1">
      <alignment vertical="center"/>
      <protection hidden="1"/>
    </xf>
    <xf numFmtId="165" fontId="7" fillId="3" borderId="20" xfId="0" applyFont="1" applyFill="1" applyBorder="1" applyAlignment="1" applyProtection="1">
      <alignment vertical="center"/>
      <protection hidden="1"/>
    </xf>
    <xf numFmtId="165" fontId="6" fillId="3" borderId="9" xfId="0" applyFont="1" applyFill="1" applyBorder="1" applyAlignment="1" applyProtection="1">
      <alignment horizontal="center" vertical="center"/>
      <protection hidden="1"/>
    </xf>
    <xf numFmtId="165" fontId="6" fillId="3" borderId="30" xfId="0" applyFont="1" applyFill="1" applyBorder="1" applyAlignment="1" applyProtection="1">
      <alignment horizontal="center" vertical="center"/>
      <protection hidden="1"/>
    </xf>
    <xf numFmtId="165" fontId="6" fillId="3" borderId="35" xfId="0" applyFont="1" applyFill="1" applyBorder="1" applyAlignment="1" applyProtection="1">
      <alignment vertical="center"/>
      <protection hidden="1"/>
    </xf>
    <xf numFmtId="165" fontId="6" fillId="3" borderId="36" xfId="0" applyFont="1" applyFill="1" applyBorder="1" applyAlignment="1" applyProtection="1">
      <alignment vertical="center"/>
      <protection hidden="1"/>
    </xf>
    <xf numFmtId="165" fontId="7" fillId="3" borderId="37" xfId="0" applyFont="1" applyFill="1" applyBorder="1" applyAlignment="1" applyProtection="1">
      <alignment vertical="center"/>
      <protection hidden="1"/>
    </xf>
    <xf numFmtId="165" fontId="6" fillId="3" borderId="25" xfId="0" applyFont="1" applyFill="1" applyBorder="1" applyAlignment="1" applyProtection="1">
      <alignment vertical="center"/>
      <protection hidden="1"/>
    </xf>
    <xf numFmtId="165" fontId="7" fillId="3" borderId="21" xfId="0" applyFont="1" applyFill="1" applyBorder="1" applyAlignment="1" applyProtection="1">
      <alignment vertical="center"/>
      <protection hidden="1"/>
    </xf>
    <xf numFmtId="168" fontId="11" fillId="3" borderId="0" xfId="0" applyNumberFormat="1" applyFont="1" applyFill="1" applyBorder="1" applyAlignment="1" applyProtection="1">
      <alignment vertical="center"/>
      <protection hidden="1"/>
    </xf>
    <xf numFmtId="10" fontId="4" fillId="3" borderId="0" xfId="0" applyNumberFormat="1" applyFont="1" applyFill="1" applyBorder="1" applyAlignment="1" applyProtection="1">
      <alignment horizontal="center" vertical="center"/>
      <protection hidden="1"/>
    </xf>
    <xf numFmtId="3" fontId="5" fillId="3" borderId="38" xfId="8" applyFont="1" applyFill="1" applyBorder="1" applyAlignment="1" applyProtection="1">
      <alignment vertical="center" wrapText="1"/>
      <protection hidden="1"/>
    </xf>
    <xf numFmtId="3" fontId="5" fillId="3" borderId="0" xfId="8" applyFont="1" applyFill="1" applyAlignment="1" applyProtection="1">
      <alignment vertical="center" wrapText="1"/>
      <protection hidden="1"/>
    </xf>
    <xf numFmtId="165" fontId="5" fillId="3" borderId="38" xfId="0" applyFont="1" applyFill="1" applyBorder="1" applyAlignment="1" applyProtection="1">
      <alignment horizontal="left" vertical="center"/>
      <protection hidden="1"/>
    </xf>
    <xf numFmtId="165" fontId="5" fillId="3" borderId="39" xfId="0" applyFont="1" applyFill="1" applyBorder="1" applyAlignment="1" applyProtection="1">
      <alignment horizontal="left" vertical="center"/>
      <protection hidden="1"/>
    </xf>
    <xf numFmtId="3" fontId="20" fillId="4" borderId="18" xfId="8" applyFont="1" applyFill="1" applyBorder="1" applyAlignment="1" applyProtection="1">
      <alignment vertical="center" wrapText="1"/>
      <protection hidden="1"/>
    </xf>
    <xf numFmtId="3" fontId="20" fillId="4" borderId="19" xfId="8" applyFont="1" applyFill="1" applyBorder="1" applyAlignment="1" applyProtection="1">
      <alignment horizontal="center" vertical="center" wrapText="1"/>
      <protection hidden="1"/>
    </xf>
    <xf numFmtId="3" fontId="20" fillId="4" borderId="13" xfId="8" applyFont="1" applyFill="1" applyBorder="1" applyAlignment="1" applyProtection="1">
      <alignment horizontal="center" vertical="center" wrapText="1"/>
      <protection hidden="1"/>
    </xf>
    <xf numFmtId="3" fontId="20" fillId="4" borderId="14" xfId="8" applyFont="1" applyFill="1" applyBorder="1" applyAlignment="1" applyProtection="1">
      <alignment horizontal="center" vertical="center" wrapText="1"/>
      <protection hidden="1"/>
    </xf>
    <xf numFmtId="3" fontId="5" fillId="3" borderId="39" xfId="8" applyFont="1" applyFill="1" applyBorder="1" applyAlignment="1" applyProtection="1">
      <alignment vertical="center" wrapText="1"/>
      <protection hidden="1"/>
    </xf>
    <xf numFmtId="174" fontId="5" fillId="5" borderId="40" xfId="8" applyNumberFormat="1" applyFont="1" applyFill="1" applyBorder="1" applyAlignment="1" applyProtection="1">
      <alignment horizontal="center" vertical="center" wrapText="1"/>
      <protection locked="0"/>
    </xf>
    <xf numFmtId="174" fontId="5" fillId="5" borderId="15" xfId="8" applyNumberFormat="1" applyFont="1" applyFill="1" applyBorder="1" applyAlignment="1" applyProtection="1">
      <alignment horizontal="center" vertical="center" wrapText="1"/>
      <protection locked="0"/>
    </xf>
    <xf numFmtId="174" fontId="5" fillId="5" borderId="1" xfId="8" applyNumberFormat="1" applyFont="1" applyFill="1" applyBorder="1" applyAlignment="1" applyProtection="1">
      <alignment horizontal="center" vertical="center" wrapText="1"/>
      <protection locked="0"/>
    </xf>
    <xf numFmtId="3" fontId="7" fillId="3" borderId="41" xfId="8" applyFont="1" applyFill="1" applyBorder="1" applyAlignment="1" applyProtection="1">
      <alignment horizontal="center" vertical="center" wrapText="1"/>
      <protection hidden="1"/>
    </xf>
    <xf numFmtId="3" fontId="7" fillId="3" borderId="4" xfId="8" applyFont="1" applyFill="1" applyBorder="1" applyAlignment="1" applyProtection="1">
      <alignment horizontal="center" vertical="center" wrapText="1"/>
      <protection hidden="1"/>
    </xf>
    <xf numFmtId="3" fontId="7" fillId="3" borderId="42" xfId="8" applyFont="1" applyFill="1" applyBorder="1" applyAlignment="1" applyProtection="1">
      <alignment horizontal="center" vertical="center" wrapText="1"/>
      <protection hidden="1"/>
    </xf>
    <xf numFmtId="3" fontId="20" fillId="4" borderId="43" xfId="9" applyFont="1" applyFill="1" applyBorder="1" applyAlignment="1" applyProtection="1">
      <alignment horizontal="center" vertical="center" wrapText="1"/>
      <protection hidden="1"/>
    </xf>
    <xf numFmtId="3" fontId="20" fillId="3" borderId="0" xfId="9" applyFont="1" applyFill="1" applyAlignment="1" applyProtection="1">
      <alignment vertical="center" wrapText="1"/>
      <protection hidden="1"/>
    </xf>
    <xf numFmtId="3" fontId="5" fillId="3" borderId="44" xfId="9" applyFont="1" applyFill="1" applyBorder="1" applyAlignment="1" applyProtection="1">
      <alignment horizontal="center" vertical="center" wrapText="1"/>
      <protection hidden="1"/>
    </xf>
    <xf numFmtId="3" fontId="5" fillId="3" borderId="45" xfId="9" applyFont="1" applyFill="1" applyBorder="1" applyAlignment="1" applyProtection="1">
      <alignment vertical="center" wrapText="1"/>
      <protection hidden="1"/>
    </xf>
    <xf numFmtId="3" fontId="5" fillId="3" borderId="46" xfId="9" applyFont="1" applyFill="1" applyBorder="1" applyAlignment="1" applyProtection="1">
      <alignment horizontal="center" vertical="center" wrapText="1"/>
      <protection hidden="1"/>
    </xf>
    <xf numFmtId="3" fontId="5" fillId="3" borderId="39" xfId="9" applyFont="1" applyFill="1" applyBorder="1" applyAlignment="1" applyProtection="1">
      <alignment vertical="center" wrapText="1"/>
      <protection hidden="1"/>
    </xf>
    <xf numFmtId="3" fontId="5" fillId="3" borderId="47" xfId="9" applyFont="1" applyFill="1" applyBorder="1" applyAlignment="1" applyProtection="1">
      <alignment vertical="center" wrapText="1"/>
      <protection hidden="1"/>
    </xf>
    <xf numFmtId="4" fontId="5" fillId="3" borderId="47" xfId="9" applyNumberFormat="1" applyFont="1" applyFill="1" applyBorder="1" applyAlignment="1" applyProtection="1">
      <alignment horizontal="center" vertical="center" wrapText="1"/>
      <protection hidden="1"/>
    </xf>
    <xf numFmtId="3" fontId="5" fillId="3" borderId="40" xfId="9" applyFont="1" applyFill="1" applyBorder="1" applyAlignment="1" applyProtection="1">
      <alignment horizontal="center" vertical="center" wrapText="1"/>
      <protection hidden="1"/>
    </xf>
    <xf numFmtId="3" fontId="5" fillId="3" borderId="46" xfId="9" applyFont="1" applyFill="1" applyBorder="1" applyAlignment="1" applyProtection="1">
      <alignment vertical="center" wrapText="1"/>
      <protection hidden="1"/>
    </xf>
    <xf numFmtId="3" fontId="4" fillId="3" borderId="0" xfId="9" applyFont="1" applyFill="1" applyAlignment="1" applyProtection="1">
      <alignment horizontal="center" vertical="center" wrapText="1"/>
      <protection hidden="1"/>
    </xf>
    <xf numFmtId="3" fontId="5" fillId="3" borderId="0" xfId="6" applyFont="1" applyFill="1" applyBorder="1" applyAlignment="1" applyProtection="1">
      <alignment vertical="center"/>
      <protection hidden="1"/>
    </xf>
    <xf numFmtId="10" fontId="5" fillId="5" borderId="48" xfId="6" applyNumberFormat="1" applyFont="1" applyFill="1" applyBorder="1" applyAlignment="1" applyProtection="1">
      <alignment horizontal="center" vertical="center"/>
      <protection locked="0"/>
    </xf>
    <xf numFmtId="3" fontId="5" fillId="3" borderId="0" xfId="6" applyFont="1" applyFill="1" applyBorder="1" applyAlignment="1" applyProtection="1">
      <alignment horizontal="center" vertical="center"/>
      <protection hidden="1"/>
    </xf>
    <xf numFmtId="3" fontId="5" fillId="3" borderId="15" xfId="6" applyFont="1" applyFill="1" applyBorder="1" applyAlignment="1" applyProtection="1">
      <alignment vertical="center"/>
      <protection hidden="1"/>
    </xf>
    <xf numFmtId="3" fontId="5" fillId="3" borderId="0" xfId="6" applyFont="1" applyFill="1" applyAlignment="1" applyProtection="1">
      <alignment vertical="center"/>
      <protection hidden="1"/>
    </xf>
    <xf numFmtId="10" fontId="5" fillId="3" borderId="48" xfId="6" applyNumberFormat="1" applyFont="1" applyFill="1" applyBorder="1" applyAlignment="1" applyProtection="1">
      <alignment vertical="center"/>
      <protection hidden="1"/>
    </xf>
    <xf numFmtId="3" fontId="5" fillId="3" borderId="48" xfId="6" applyFont="1" applyFill="1" applyBorder="1" applyAlignment="1" applyProtection="1">
      <alignment vertical="center"/>
      <protection hidden="1"/>
    </xf>
    <xf numFmtId="3" fontId="13" fillId="3" borderId="4" xfId="6" applyFont="1" applyFill="1" applyBorder="1" applyAlignment="1" applyProtection="1">
      <alignment vertical="center"/>
      <protection hidden="1"/>
    </xf>
    <xf numFmtId="3" fontId="13" fillId="3" borderId="0" xfId="6" applyFont="1" applyFill="1" applyAlignment="1" applyProtection="1">
      <alignment vertical="center"/>
      <protection hidden="1"/>
    </xf>
    <xf numFmtId="3" fontId="5" fillId="3" borderId="19" xfId="9" applyFont="1" applyFill="1" applyBorder="1" applyAlignment="1" applyProtection="1">
      <alignment horizontal="center" vertical="center" wrapText="1"/>
      <protection hidden="1"/>
    </xf>
    <xf numFmtId="3" fontId="5" fillId="3" borderId="33" xfId="9" applyFont="1" applyFill="1" applyBorder="1" applyAlignment="1" applyProtection="1">
      <alignment horizontal="center" vertical="center" wrapText="1"/>
      <protection hidden="1"/>
    </xf>
    <xf numFmtId="3" fontId="13" fillId="3" borderId="0" xfId="6" applyFont="1" applyFill="1" applyBorder="1" applyAlignment="1" applyProtection="1">
      <alignment vertical="center"/>
      <protection hidden="1"/>
    </xf>
    <xf numFmtId="3" fontId="13" fillId="3" borderId="15" xfId="6" applyFont="1" applyFill="1" applyBorder="1" applyAlignment="1" applyProtection="1">
      <alignment vertical="center"/>
      <protection hidden="1"/>
    </xf>
    <xf numFmtId="165" fontId="36" fillId="3" borderId="0" xfId="0" applyFont="1" applyFill="1" applyAlignment="1" applyProtection="1">
      <alignment vertical="center"/>
      <protection hidden="1"/>
    </xf>
    <xf numFmtId="165" fontId="33" fillId="3" borderId="0" xfId="0" applyFont="1" applyFill="1" applyAlignment="1" applyProtection="1">
      <alignment horizontal="center" vertical="center" wrapText="1"/>
      <protection hidden="1"/>
    </xf>
    <xf numFmtId="165" fontId="5" fillId="3" borderId="40" xfId="0" applyFont="1" applyFill="1" applyBorder="1" applyAlignment="1" applyProtection="1">
      <alignment horizontal="center" vertical="center"/>
      <protection hidden="1"/>
    </xf>
    <xf numFmtId="169" fontId="5" fillId="5" borderId="40" xfId="0" applyNumberFormat="1" applyFont="1" applyFill="1" applyBorder="1" applyAlignment="1" applyProtection="1">
      <alignment horizontal="center" vertical="center"/>
      <protection locked="0"/>
    </xf>
    <xf numFmtId="10" fontId="5" fillId="5" borderId="40" xfId="0" applyNumberFormat="1" applyFont="1" applyFill="1" applyBorder="1" applyAlignment="1" applyProtection="1">
      <alignment horizontal="center" vertical="center"/>
      <protection locked="0"/>
    </xf>
    <xf numFmtId="165" fontId="5" fillId="3" borderId="49" xfId="0" applyFont="1" applyFill="1" applyBorder="1" applyAlignment="1" applyProtection="1">
      <alignment horizontal="center" vertical="center"/>
      <protection hidden="1"/>
    </xf>
    <xf numFmtId="165" fontId="5" fillId="3" borderId="0" xfId="0" applyFont="1" applyFill="1" applyAlignment="1" applyProtection="1">
      <alignment vertical="center"/>
      <protection hidden="1"/>
    </xf>
    <xf numFmtId="165" fontId="5" fillId="3" borderId="47" xfId="0" applyFont="1" applyFill="1" applyBorder="1" applyAlignment="1" applyProtection="1">
      <alignment horizontal="center" vertical="center"/>
      <protection hidden="1"/>
    </xf>
    <xf numFmtId="165" fontId="5" fillId="3" borderId="50" xfId="0" applyFont="1" applyFill="1" applyBorder="1" applyAlignment="1" applyProtection="1">
      <alignment horizontal="center" vertical="center"/>
      <protection hidden="1"/>
    </xf>
    <xf numFmtId="165" fontId="5" fillId="5" borderId="40" xfId="0" applyFont="1" applyFill="1" applyBorder="1" applyAlignment="1" applyProtection="1">
      <alignment horizontal="center" vertical="center"/>
      <protection locked="0"/>
    </xf>
    <xf numFmtId="165" fontId="5" fillId="5" borderId="38" xfId="0" applyFont="1" applyFill="1" applyBorder="1" applyAlignment="1" applyProtection="1">
      <alignment vertical="center"/>
      <protection locked="0"/>
    </xf>
    <xf numFmtId="165" fontId="5" fillId="5" borderId="39" xfId="0" applyFont="1" applyFill="1" applyBorder="1" applyAlignment="1" applyProtection="1">
      <alignment vertical="center"/>
      <protection locked="0"/>
    </xf>
    <xf numFmtId="165" fontId="34" fillId="3" borderId="0" xfId="0" applyFont="1" applyFill="1" applyAlignment="1" applyProtection="1">
      <alignment horizontal="center" vertical="center" wrapText="1"/>
      <protection hidden="1"/>
    </xf>
    <xf numFmtId="165" fontId="34" fillId="4" borderId="10" xfId="0" applyFont="1" applyFill="1" applyBorder="1" applyAlignment="1" applyProtection="1">
      <alignment vertical="center"/>
      <protection hidden="1"/>
    </xf>
    <xf numFmtId="165" fontId="33" fillId="4" borderId="12" xfId="0" applyFont="1" applyFill="1" applyBorder="1" applyAlignment="1" applyProtection="1">
      <alignment vertical="center"/>
      <protection hidden="1"/>
    </xf>
    <xf numFmtId="165" fontId="5" fillId="3" borderId="2" xfId="0" applyFont="1" applyFill="1" applyBorder="1" applyAlignment="1" applyProtection="1">
      <alignment horizontal="center" vertical="center"/>
      <protection hidden="1"/>
    </xf>
    <xf numFmtId="165" fontId="5" fillId="3" borderId="0" xfId="0" applyFont="1" applyFill="1" applyBorder="1" applyAlignment="1" applyProtection="1">
      <alignment vertical="center"/>
      <protection hidden="1"/>
    </xf>
    <xf numFmtId="168" fontId="5" fillId="5" borderId="48" xfId="0" applyNumberFormat="1" applyFont="1" applyFill="1" applyBorder="1" applyAlignment="1" applyProtection="1">
      <alignment horizontal="right" vertical="center"/>
      <protection locked="0"/>
    </xf>
    <xf numFmtId="168" fontId="5" fillId="3" borderId="0" xfId="0" applyNumberFormat="1" applyFont="1" applyFill="1" applyBorder="1" applyAlignment="1" applyProtection="1">
      <alignment vertical="center"/>
      <protection hidden="1"/>
    </xf>
    <xf numFmtId="168" fontId="5" fillId="3" borderId="48" xfId="0" applyNumberFormat="1" applyFont="1" applyFill="1" applyBorder="1" applyAlignment="1" applyProtection="1">
      <alignment vertical="center"/>
      <protection hidden="1"/>
    </xf>
    <xf numFmtId="165" fontId="13" fillId="3" borderId="51" xfId="0" applyFont="1" applyFill="1" applyBorder="1" applyAlignment="1" applyProtection="1">
      <alignment horizontal="center" vertical="center"/>
      <protection hidden="1"/>
    </xf>
    <xf numFmtId="165" fontId="13" fillId="3" borderId="52" xfId="0" applyFont="1" applyFill="1" applyBorder="1" applyAlignment="1" applyProtection="1">
      <alignment vertical="center"/>
      <protection hidden="1"/>
    </xf>
    <xf numFmtId="168" fontId="13" fillId="3" borderId="53" xfId="0" applyNumberFormat="1" applyFont="1" applyFill="1" applyBorder="1" applyAlignment="1" applyProtection="1">
      <alignment vertical="center"/>
      <protection hidden="1"/>
    </xf>
    <xf numFmtId="168" fontId="13" fillId="3" borderId="52" xfId="0" applyNumberFormat="1" applyFont="1" applyFill="1" applyBorder="1" applyAlignment="1" applyProtection="1">
      <alignment vertical="center"/>
      <protection hidden="1"/>
    </xf>
    <xf numFmtId="165" fontId="13" fillId="3" borderId="0" xfId="0" applyFont="1" applyFill="1" applyBorder="1" applyAlignment="1" applyProtection="1">
      <alignment vertical="center"/>
      <protection hidden="1"/>
    </xf>
    <xf numFmtId="165" fontId="5" fillId="3" borderId="54" xfId="0" applyFont="1" applyFill="1" applyBorder="1" applyAlignment="1" applyProtection="1">
      <alignment horizontal="center" vertical="center"/>
      <protection hidden="1"/>
    </xf>
    <xf numFmtId="165" fontId="5" fillId="3" borderId="55" xfId="0" applyFont="1" applyFill="1" applyBorder="1" applyAlignment="1" applyProtection="1">
      <alignment vertical="center"/>
      <protection hidden="1"/>
    </xf>
    <xf numFmtId="168" fontId="5" fillId="3" borderId="56" xfId="0" applyNumberFormat="1" applyFont="1" applyFill="1" applyBorder="1" applyAlignment="1" applyProtection="1">
      <alignment vertical="center"/>
      <protection hidden="1"/>
    </xf>
    <xf numFmtId="168" fontId="5" fillId="3" borderId="55" xfId="0" applyNumberFormat="1" applyFont="1" applyFill="1" applyBorder="1" applyAlignment="1" applyProtection="1">
      <alignment vertical="center"/>
      <protection hidden="1"/>
    </xf>
    <xf numFmtId="165" fontId="13" fillId="3" borderId="2" xfId="0" applyFont="1" applyFill="1" applyBorder="1" applyAlignment="1" applyProtection="1">
      <alignment horizontal="center" vertical="center"/>
      <protection hidden="1"/>
    </xf>
    <xf numFmtId="168" fontId="13" fillId="3" borderId="48" xfId="0" applyNumberFormat="1" applyFont="1" applyFill="1" applyBorder="1" applyAlignment="1" applyProtection="1">
      <alignment vertical="center"/>
      <protection hidden="1"/>
    </xf>
    <xf numFmtId="168" fontId="13" fillId="3" borderId="0" xfId="0" applyNumberFormat="1" applyFont="1" applyFill="1" applyBorder="1" applyAlignment="1" applyProtection="1">
      <alignment vertical="center"/>
      <protection hidden="1"/>
    </xf>
    <xf numFmtId="165" fontId="34" fillId="4" borderId="6" xfId="0" applyFont="1" applyFill="1" applyBorder="1" applyAlignment="1" applyProtection="1">
      <alignment horizontal="center" vertical="center"/>
      <protection hidden="1"/>
    </xf>
    <xf numFmtId="165" fontId="34" fillId="4" borderId="7" xfId="0" applyFont="1" applyFill="1" applyBorder="1" applyAlignment="1" applyProtection="1">
      <alignment vertical="center"/>
      <protection hidden="1"/>
    </xf>
    <xf numFmtId="168" fontId="34" fillId="4" borderId="17" xfId="0" applyNumberFormat="1" applyFont="1" applyFill="1" applyBorder="1" applyAlignment="1" applyProtection="1">
      <alignment vertical="center"/>
      <protection hidden="1"/>
    </xf>
    <xf numFmtId="165" fontId="34" fillId="4" borderId="57" xfId="0" applyFont="1" applyFill="1" applyBorder="1" applyAlignment="1" applyProtection="1">
      <alignment vertical="center"/>
      <protection hidden="1"/>
    </xf>
    <xf numFmtId="165" fontId="34" fillId="4" borderId="58" xfId="0" applyFont="1" applyFill="1" applyBorder="1" applyAlignment="1" applyProtection="1">
      <alignment vertical="center"/>
      <protection hidden="1"/>
    </xf>
    <xf numFmtId="165" fontId="13" fillId="3" borderId="2" xfId="0" applyFont="1" applyFill="1" applyBorder="1" applyAlignment="1" applyProtection="1">
      <alignment vertical="center"/>
      <protection hidden="1"/>
    </xf>
    <xf numFmtId="165" fontId="5" fillId="3" borderId="2" xfId="0" applyFont="1" applyFill="1" applyBorder="1" applyAlignment="1" applyProtection="1">
      <alignment vertical="center"/>
      <protection hidden="1"/>
    </xf>
    <xf numFmtId="165" fontId="24" fillId="3" borderId="2" xfId="0" applyFont="1" applyFill="1" applyBorder="1" applyAlignment="1" applyProtection="1">
      <alignment horizontal="center" vertical="center"/>
      <protection hidden="1"/>
    </xf>
    <xf numFmtId="3" fontId="11" fillId="3" borderId="58" xfId="6" applyFont="1" applyFill="1" applyBorder="1" applyAlignment="1" applyProtection="1">
      <alignment horizontal="right" vertical="center"/>
      <protection hidden="1"/>
    </xf>
    <xf numFmtId="3" fontId="6" fillId="3" borderId="0" xfId="6" applyFont="1" applyFill="1" applyAlignment="1" applyProtection="1">
      <alignment vertical="center"/>
      <protection hidden="1"/>
    </xf>
    <xf numFmtId="3" fontId="34" fillId="4" borderId="10" xfId="6" applyFont="1" applyFill="1" applyBorder="1" applyAlignment="1" applyProtection="1">
      <alignment vertical="center"/>
      <protection hidden="1"/>
    </xf>
    <xf numFmtId="3" fontId="25" fillId="3" borderId="0" xfId="6" applyFont="1" applyFill="1" applyAlignment="1" applyProtection="1">
      <alignment vertical="center"/>
      <protection hidden="1"/>
    </xf>
    <xf numFmtId="3" fontId="34" fillId="4" borderId="46" xfId="6" applyFont="1" applyFill="1" applyBorder="1" applyAlignment="1" applyProtection="1">
      <alignment vertical="center"/>
      <protection hidden="1"/>
    </xf>
    <xf numFmtId="165" fontId="13" fillId="3" borderId="52" xfId="0" applyFont="1" applyFill="1" applyBorder="1" applyAlignment="1" applyProtection="1">
      <alignment vertical="center" wrapText="1"/>
      <protection hidden="1"/>
    </xf>
    <xf numFmtId="165" fontId="4" fillId="4" borderId="58" xfId="0" applyFont="1" applyFill="1" applyBorder="1" applyAlignment="1" applyProtection="1">
      <alignment vertical="center"/>
      <protection hidden="1"/>
    </xf>
    <xf numFmtId="165" fontId="12" fillId="3" borderId="0" xfId="0" applyFont="1" applyFill="1" applyBorder="1" applyAlignment="1" applyProtection="1">
      <alignment vertical="center"/>
      <protection hidden="1"/>
    </xf>
    <xf numFmtId="165" fontId="34" fillId="4" borderId="12" xfId="0" applyFont="1" applyFill="1" applyBorder="1" applyAlignment="1" applyProtection="1">
      <alignment horizontal="left" vertical="center"/>
      <protection hidden="1"/>
    </xf>
    <xf numFmtId="165" fontId="11" fillId="3" borderId="4" xfId="0" applyFont="1" applyFill="1" applyBorder="1" applyAlignment="1" applyProtection="1">
      <alignment horizontal="center" vertical="center"/>
      <protection hidden="1"/>
    </xf>
    <xf numFmtId="165" fontId="11" fillId="3" borderId="9" xfId="0" applyFont="1" applyFill="1" applyBorder="1" applyAlignment="1" applyProtection="1">
      <alignment horizontal="center" vertical="center"/>
      <protection hidden="1"/>
    </xf>
    <xf numFmtId="165" fontId="11" fillId="3" borderId="41" xfId="0" applyFont="1" applyFill="1" applyBorder="1" applyAlignment="1" applyProtection="1">
      <alignment horizontal="center" vertical="center" wrapText="1"/>
      <protection hidden="1"/>
    </xf>
    <xf numFmtId="165" fontId="11" fillId="3" borderId="42" xfId="0" applyFont="1" applyFill="1" applyBorder="1" applyAlignment="1" applyProtection="1">
      <alignment horizontal="center" vertical="center"/>
      <protection hidden="1"/>
    </xf>
    <xf numFmtId="165" fontId="11" fillId="3" borderId="5" xfId="0" applyFont="1" applyFill="1" applyBorder="1" applyAlignment="1" applyProtection="1">
      <alignment horizontal="center" vertical="center"/>
      <protection hidden="1"/>
    </xf>
    <xf numFmtId="165" fontId="5" fillId="3" borderId="48" xfId="0" applyFont="1" applyFill="1" applyBorder="1" applyAlignment="1" applyProtection="1">
      <alignment vertical="center"/>
      <protection hidden="1"/>
    </xf>
    <xf numFmtId="165" fontId="5" fillId="3" borderId="15" xfId="0" applyFont="1" applyFill="1" applyBorder="1" applyAlignment="1" applyProtection="1">
      <alignment vertical="center"/>
      <protection hidden="1"/>
    </xf>
    <xf numFmtId="165" fontId="5" fillId="3" borderId="1" xfId="0" applyFont="1" applyFill="1" applyBorder="1" applyAlignment="1" applyProtection="1">
      <alignment vertical="center"/>
      <protection hidden="1"/>
    </xf>
    <xf numFmtId="165" fontId="5" fillId="3" borderId="40" xfId="0" applyFont="1" applyFill="1" applyBorder="1" applyAlignment="1" applyProtection="1">
      <alignment vertical="center"/>
      <protection hidden="1"/>
    </xf>
    <xf numFmtId="165" fontId="34" fillId="4" borderId="4" xfId="0" applyFont="1" applyFill="1" applyBorder="1" applyAlignment="1" applyProtection="1">
      <alignment horizontal="left" vertical="center"/>
      <protection hidden="1"/>
    </xf>
    <xf numFmtId="165" fontId="34" fillId="4" borderId="9" xfId="0" applyFont="1" applyFill="1" applyBorder="1" applyAlignment="1" applyProtection="1">
      <alignment horizontal="left" vertical="center"/>
      <protection hidden="1"/>
    </xf>
    <xf numFmtId="165" fontId="34" fillId="4" borderId="41" xfId="0" applyFont="1" applyFill="1" applyBorder="1" applyAlignment="1" applyProtection="1">
      <alignment vertical="center"/>
      <protection hidden="1"/>
    </xf>
    <xf numFmtId="165" fontId="34" fillId="4" borderId="4" xfId="0" applyFont="1" applyFill="1" applyBorder="1" applyAlignment="1" applyProtection="1">
      <alignment vertical="center"/>
      <protection hidden="1"/>
    </xf>
    <xf numFmtId="165" fontId="34" fillId="4" borderId="42" xfId="0" applyFont="1" applyFill="1" applyBorder="1" applyAlignment="1" applyProtection="1">
      <alignment vertical="center"/>
      <protection hidden="1"/>
    </xf>
    <xf numFmtId="165" fontId="34" fillId="4" borderId="5" xfId="0" applyFont="1" applyFill="1" applyBorder="1" applyAlignment="1" applyProtection="1">
      <alignment vertical="center"/>
      <protection hidden="1"/>
    </xf>
    <xf numFmtId="165" fontId="34" fillId="4" borderId="11" xfId="0" applyFont="1" applyFill="1" applyBorder="1" applyAlignment="1" applyProtection="1">
      <alignment vertical="center"/>
      <protection hidden="1"/>
    </xf>
    <xf numFmtId="165" fontId="34" fillId="4" borderId="12" xfId="0" applyFont="1" applyFill="1" applyBorder="1" applyAlignment="1" applyProtection="1">
      <alignment vertical="center"/>
      <protection hidden="1"/>
    </xf>
    <xf numFmtId="165" fontId="34" fillId="4" borderId="14" xfId="0" applyFont="1" applyFill="1" applyBorder="1" applyAlignment="1" applyProtection="1">
      <alignment vertical="center"/>
      <protection hidden="1"/>
    </xf>
    <xf numFmtId="165" fontId="34" fillId="4" borderId="17" xfId="0" applyFont="1" applyFill="1" applyBorder="1" applyAlignment="1" applyProtection="1">
      <alignment vertical="center"/>
      <protection hidden="1"/>
    </xf>
    <xf numFmtId="165" fontId="34" fillId="4" borderId="8" xfId="0" applyFont="1" applyFill="1" applyBorder="1" applyAlignment="1" applyProtection="1">
      <alignment vertical="center"/>
      <protection hidden="1"/>
    </xf>
    <xf numFmtId="3" fontId="11" fillId="3" borderId="26" xfId="9" applyFont="1" applyFill="1" applyBorder="1" applyAlignment="1" applyProtection="1">
      <alignment horizontal="center" vertical="center" wrapText="1"/>
      <protection hidden="1"/>
    </xf>
    <xf numFmtId="3" fontId="4" fillId="3" borderId="27" xfId="9" applyFont="1" applyFill="1" applyBorder="1" applyAlignment="1" applyProtection="1">
      <alignment horizontal="center" vertical="center" wrapText="1"/>
      <protection hidden="1"/>
    </xf>
    <xf numFmtId="165" fontId="11" fillId="6" borderId="10" xfId="0" applyFont="1" applyFill="1" applyBorder="1" applyAlignment="1" applyProtection="1">
      <alignment horizontal="left" vertical="center"/>
      <protection hidden="1"/>
    </xf>
    <xf numFmtId="165" fontId="11" fillId="6" borderId="12" xfId="0" applyFont="1" applyFill="1" applyBorder="1" applyAlignment="1" applyProtection="1">
      <alignment horizontal="left" vertical="center"/>
      <protection hidden="1"/>
    </xf>
    <xf numFmtId="165" fontId="5" fillId="3" borderId="2" xfId="0" applyFont="1" applyFill="1" applyBorder="1" applyAlignment="1" applyProtection="1">
      <alignment horizontal="left" vertical="center"/>
      <protection hidden="1"/>
    </xf>
    <xf numFmtId="165" fontId="5" fillId="3" borderId="0" xfId="0" applyFont="1" applyFill="1" applyBorder="1" applyAlignment="1" applyProtection="1">
      <alignment horizontal="left" vertical="center"/>
      <protection hidden="1"/>
    </xf>
    <xf numFmtId="165" fontId="11" fillId="6" borderId="3" xfId="0" applyFont="1" applyFill="1" applyBorder="1" applyAlignment="1" applyProtection="1">
      <alignment horizontal="left" vertical="center"/>
      <protection hidden="1"/>
    </xf>
    <xf numFmtId="165" fontId="11" fillId="6" borderId="4" xfId="0" applyFont="1" applyFill="1" applyBorder="1" applyAlignment="1" applyProtection="1">
      <alignment horizontal="left" vertical="center"/>
      <protection hidden="1"/>
    </xf>
    <xf numFmtId="165" fontId="11" fillId="6" borderId="41" xfId="0" applyFont="1" applyFill="1" applyBorder="1" applyAlignment="1" applyProtection="1">
      <alignment vertical="center"/>
      <protection hidden="1"/>
    </xf>
    <xf numFmtId="165" fontId="34" fillId="4" borderId="59" xfId="0" applyFont="1" applyFill="1" applyBorder="1" applyAlignment="1" applyProtection="1">
      <alignment vertical="center"/>
      <protection hidden="1"/>
    </xf>
    <xf numFmtId="165" fontId="11" fillId="6" borderId="11" xfId="0" applyFont="1" applyFill="1" applyBorder="1" applyAlignment="1" applyProtection="1">
      <alignment vertical="center"/>
      <protection hidden="1"/>
    </xf>
    <xf numFmtId="165" fontId="13" fillId="3" borderId="2" xfId="0" applyFont="1" applyFill="1" applyBorder="1" applyAlignment="1" applyProtection="1">
      <alignment horizontal="left" vertical="center"/>
      <protection hidden="1"/>
    </xf>
    <xf numFmtId="165" fontId="34" fillId="4" borderId="2" xfId="0" applyFont="1" applyFill="1" applyBorder="1" applyAlignment="1" applyProtection="1">
      <alignment vertical="center"/>
      <protection hidden="1"/>
    </xf>
    <xf numFmtId="165" fontId="34" fillId="4" borderId="0" xfId="0" applyFont="1" applyFill="1" applyBorder="1" applyAlignment="1" applyProtection="1">
      <alignment vertical="center"/>
      <protection hidden="1"/>
    </xf>
    <xf numFmtId="165" fontId="34" fillId="4" borderId="0" xfId="0" applyFont="1" applyFill="1" applyBorder="1" applyAlignment="1" applyProtection="1">
      <alignment horizontal="center" vertical="center"/>
      <protection hidden="1"/>
    </xf>
    <xf numFmtId="165" fontId="11" fillId="3" borderId="0" xfId="0" applyFont="1" applyFill="1" applyAlignment="1" applyProtection="1">
      <alignment vertical="center"/>
      <protection hidden="1"/>
    </xf>
    <xf numFmtId="165" fontId="34" fillId="4" borderId="6" xfId="0" applyFont="1" applyFill="1" applyBorder="1" applyAlignment="1" applyProtection="1">
      <alignment vertical="center"/>
      <protection hidden="1"/>
    </xf>
    <xf numFmtId="165" fontId="11" fillId="6" borderId="54" xfId="0" applyFont="1" applyFill="1" applyBorder="1" applyAlignment="1" applyProtection="1">
      <alignment horizontal="left" vertical="center"/>
      <protection hidden="1"/>
    </xf>
    <xf numFmtId="165" fontId="11" fillId="6" borderId="55" xfId="0" applyFont="1" applyFill="1" applyBorder="1" applyAlignment="1" applyProtection="1">
      <alignment horizontal="left" vertical="center"/>
      <protection hidden="1"/>
    </xf>
    <xf numFmtId="3" fontId="4" fillId="3" borderId="0" xfId="6" applyNumberFormat="1" applyFont="1" applyFill="1" applyAlignment="1" applyProtection="1">
      <alignment vertical="center"/>
      <protection hidden="1"/>
    </xf>
    <xf numFmtId="3" fontId="5" fillId="3" borderId="32" xfId="9" applyNumberFormat="1" applyFont="1" applyFill="1" applyBorder="1" applyAlignment="1" applyProtection="1">
      <alignment horizontal="center" vertical="center" wrapText="1"/>
      <protection hidden="1"/>
    </xf>
    <xf numFmtId="3" fontId="5" fillId="3" borderId="34" xfId="9" applyNumberFormat="1" applyFont="1" applyFill="1" applyBorder="1" applyAlignment="1" applyProtection="1">
      <alignment horizontal="center" vertical="center" wrapText="1"/>
      <protection hidden="1"/>
    </xf>
    <xf numFmtId="3" fontId="34" fillId="4" borderId="21" xfId="9" applyNumberFormat="1" applyFont="1" applyFill="1" applyBorder="1" applyAlignment="1" applyProtection="1">
      <alignment horizontal="center" vertical="center" wrapText="1"/>
      <protection hidden="1"/>
    </xf>
    <xf numFmtId="3" fontId="13" fillId="3" borderId="21" xfId="9" applyNumberFormat="1" applyFont="1" applyFill="1" applyBorder="1" applyAlignment="1" applyProtection="1">
      <alignment horizontal="center" vertical="center" wrapText="1"/>
      <protection hidden="1"/>
    </xf>
    <xf numFmtId="3" fontId="5" fillId="3" borderId="27" xfId="9" applyNumberFormat="1" applyFont="1" applyFill="1" applyBorder="1" applyAlignment="1" applyProtection="1">
      <alignment horizontal="center" vertical="center" wrapText="1"/>
      <protection hidden="1"/>
    </xf>
    <xf numFmtId="3" fontId="7" fillId="3" borderId="21" xfId="9" applyNumberFormat="1" applyFont="1" applyFill="1" applyBorder="1" applyAlignment="1" applyProtection="1">
      <alignment horizontal="center" vertical="center" wrapText="1"/>
      <protection hidden="1"/>
    </xf>
    <xf numFmtId="3" fontId="4" fillId="3" borderId="32" xfId="9" applyNumberFormat="1" applyFont="1" applyFill="1" applyBorder="1" applyAlignment="1" applyProtection="1">
      <alignment horizontal="center" vertical="center" wrapText="1"/>
      <protection hidden="1"/>
    </xf>
    <xf numFmtId="3" fontId="4" fillId="3" borderId="28" xfId="9" applyNumberFormat="1" applyFont="1" applyFill="1" applyBorder="1" applyAlignment="1" applyProtection="1">
      <alignment horizontal="center" vertical="center" wrapText="1"/>
      <protection hidden="1"/>
    </xf>
    <xf numFmtId="3" fontId="11" fillId="3" borderId="21" xfId="9" applyNumberFormat="1" applyFont="1" applyFill="1" applyBorder="1" applyAlignment="1" applyProtection="1">
      <alignment horizontal="center" vertical="center" wrapText="1"/>
      <protection hidden="1"/>
    </xf>
    <xf numFmtId="166" fontId="4" fillId="3" borderId="12" xfId="6" applyNumberFormat="1" applyFont="1" applyFill="1" applyBorder="1" applyAlignment="1" applyProtection="1">
      <alignment horizontal="center" vertical="center" wrapText="1"/>
      <protection hidden="1"/>
    </xf>
    <xf numFmtId="166" fontId="4" fillId="3" borderId="0" xfId="6" applyNumberFormat="1" applyFont="1" applyFill="1" applyAlignment="1" applyProtection="1">
      <alignment vertical="center"/>
      <protection hidden="1"/>
    </xf>
    <xf numFmtId="166" fontId="11" fillId="3" borderId="0" xfId="6" applyNumberFormat="1" applyFont="1" applyFill="1" applyAlignment="1" applyProtection="1">
      <alignment vertical="center"/>
      <protection hidden="1"/>
    </xf>
    <xf numFmtId="166" fontId="4" fillId="3" borderId="0" xfId="6" applyNumberFormat="1" applyFont="1" applyFill="1" applyBorder="1" applyAlignment="1" applyProtection="1">
      <alignment vertical="center"/>
      <protection hidden="1"/>
    </xf>
    <xf numFmtId="166" fontId="13" fillId="3" borderId="21" xfId="9" applyNumberFormat="1" applyFont="1" applyFill="1" applyBorder="1" applyAlignment="1" applyProtection="1">
      <alignment horizontal="center" vertical="center" wrapText="1"/>
      <protection hidden="1"/>
    </xf>
    <xf numFmtId="166" fontId="5" fillId="3" borderId="0" xfId="6" applyNumberFormat="1" applyFont="1" applyFill="1" applyBorder="1" applyAlignment="1" applyProtection="1">
      <alignment horizontal="center" vertical="center"/>
      <protection hidden="1"/>
    </xf>
    <xf numFmtId="166" fontId="7" fillId="3" borderId="0" xfId="6" applyNumberFormat="1" applyFont="1" applyFill="1" applyAlignment="1" applyProtection="1">
      <alignment vertical="center"/>
      <protection hidden="1"/>
    </xf>
    <xf numFmtId="166" fontId="5" fillId="3" borderId="0" xfId="6" applyNumberFormat="1" applyFont="1" applyFill="1" applyAlignment="1" applyProtection="1">
      <alignment vertical="center"/>
      <protection hidden="1"/>
    </xf>
    <xf numFmtId="166" fontId="13" fillId="3" borderId="0" xfId="6" applyNumberFormat="1" applyFont="1" applyFill="1" applyAlignment="1" applyProtection="1">
      <alignment vertical="center"/>
      <protection hidden="1"/>
    </xf>
    <xf numFmtId="166" fontId="11" fillId="3" borderId="0" xfId="6" applyNumberFormat="1" applyFont="1" applyFill="1" applyBorder="1" applyAlignment="1" applyProtection="1">
      <alignment vertical="center"/>
      <protection hidden="1"/>
    </xf>
    <xf numFmtId="3" fontId="4" fillId="3" borderId="12" xfId="6" applyFont="1" applyFill="1" applyBorder="1" applyAlignment="1" applyProtection="1">
      <alignment horizontal="center" vertical="center"/>
      <protection hidden="1"/>
    </xf>
    <xf numFmtId="165" fontId="11" fillId="7" borderId="57" xfId="0" applyFont="1" applyFill="1" applyBorder="1" applyAlignment="1" applyProtection="1">
      <alignment vertical="center"/>
      <protection hidden="1"/>
    </xf>
    <xf numFmtId="165" fontId="11" fillId="7" borderId="58" xfId="0" applyFont="1" applyFill="1" applyBorder="1" applyAlignment="1" applyProtection="1">
      <alignment vertical="center"/>
      <protection hidden="1"/>
    </xf>
    <xf numFmtId="10" fontId="4" fillId="3" borderId="0" xfId="12" applyFont="1" applyFill="1" applyBorder="1" applyAlignment="1" applyProtection="1">
      <alignment horizontal="center" vertical="center" wrapText="1"/>
      <protection hidden="1"/>
    </xf>
    <xf numFmtId="10" fontId="4" fillId="3" borderId="0" xfId="10" applyNumberFormat="1" applyFont="1" applyFill="1" applyBorder="1" applyAlignment="1" applyProtection="1">
      <alignment horizontal="center" vertical="center" wrapText="1"/>
      <protection hidden="1"/>
    </xf>
    <xf numFmtId="3" fontId="4" fillId="3" borderId="9" xfId="1" applyNumberFormat="1" applyFont="1" applyFill="1" applyBorder="1" applyAlignment="1" applyProtection="1">
      <alignment horizontal="center" vertical="center" wrapText="1"/>
      <protection hidden="1"/>
    </xf>
    <xf numFmtId="3" fontId="4" fillId="3" borderId="25" xfId="1" applyNumberFormat="1" applyFont="1" applyFill="1" applyBorder="1" applyAlignment="1" applyProtection="1">
      <alignment horizontal="center" vertical="center" wrapText="1"/>
      <protection hidden="1"/>
    </xf>
    <xf numFmtId="3" fontId="4" fillId="3" borderId="33" xfId="1" applyNumberFormat="1" applyFont="1" applyFill="1" applyBorder="1" applyAlignment="1" applyProtection="1">
      <alignment horizontal="center" vertical="center" wrapText="1"/>
      <protection hidden="1"/>
    </xf>
    <xf numFmtId="3" fontId="4" fillId="3" borderId="34" xfId="1" applyNumberFormat="1" applyFont="1" applyFill="1" applyBorder="1" applyAlignment="1" applyProtection="1">
      <alignment horizontal="center" vertical="center" wrapText="1"/>
      <protection hidden="1"/>
    </xf>
    <xf numFmtId="4" fontId="38" fillId="4" borderId="43" xfId="1" applyFont="1" applyFill="1" applyBorder="1" applyAlignment="1" applyProtection="1">
      <alignment horizontal="left" vertical="center"/>
      <protection hidden="1"/>
    </xf>
    <xf numFmtId="10" fontId="5" fillId="5" borderId="48" xfId="1" applyNumberFormat="1" applyFont="1" applyFill="1" applyBorder="1" applyAlignment="1" applyProtection="1">
      <alignment horizontal="center" vertical="center"/>
      <protection locked="0"/>
    </xf>
    <xf numFmtId="170" fontId="5" fillId="3" borderId="15" xfId="10" applyNumberFormat="1" applyFont="1" applyFill="1" applyBorder="1" applyAlignment="1" applyProtection="1">
      <alignment horizontal="center" vertical="center"/>
      <protection hidden="1"/>
    </xf>
    <xf numFmtId="170" fontId="5" fillId="3" borderId="1" xfId="10" applyNumberFormat="1" applyFont="1" applyFill="1" applyBorder="1" applyAlignment="1" applyProtection="1">
      <alignment horizontal="center" vertical="center"/>
      <protection hidden="1"/>
    </xf>
    <xf numFmtId="170" fontId="11" fillId="6" borderId="42" xfId="10" applyNumberFormat="1" applyFont="1" applyFill="1" applyBorder="1" applyAlignment="1" applyProtection="1">
      <alignment horizontal="center" vertical="center"/>
      <protection hidden="1"/>
    </xf>
    <xf numFmtId="170" fontId="11" fillId="6" borderId="5" xfId="10" applyNumberFormat="1" applyFont="1" applyFill="1" applyBorder="1" applyAlignment="1" applyProtection="1">
      <alignment horizontal="center" vertical="center"/>
      <protection hidden="1"/>
    </xf>
    <xf numFmtId="170" fontId="34" fillId="4" borderId="60" xfId="10" applyNumberFormat="1" applyFont="1" applyFill="1" applyBorder="1" applyAlignment="1" applyProtection="1">
      <alignment horizontal="center" vertical="center"/>
      <protection hidden="1"/>
    </xf>
    <xf numFmtId="170" fontId="11" fillId="6" borderId="13" xfId="10" applyNumberFormat="1" applyFont="1" applyFill="1" applyBorder="1" applyAlignment="1" applyProtection="1">
      <alignment horizontal="center" vertical="center"/>
      <protection hidden="1"/>
    </xf>
    <xf numFmtId="170" fontId="34" fillId="4" borderId="61" xfId="10" applyNumberFormat="1" applyFont="1" applyFill="1" applyBorder="1" applyAlignment="1" applyProtection="1">
      <alignment horizontal="center" vertical="center"/>
      <protection hidden="1"/>
    </xf>
    <xf numFmtId="10" fontId="5" fillId="5" borderId="40" xfId="10" applyNumberFormat="1" applyFont="1" applyFill="1" applyBorder="1" applyAlignment="1" applyProtection="1">
      <alignment horizontal="center" vertical="center" wrapText="1"/>
      <protection locked="0"/>
    </xf>
    <xf numFmtId="10" fontId="5" fillId="5" borderId="15" xfId="10" applyNumberFormat="1" applyFont="1" applyFill="1" applyBorder="1" applyAlignment="1" applyProtection="1">
      <alignment horizontal="center" vertical="center" wrapText="1"/>
      <protection locked="0"/>
    </xf>
    <xf numFmtId="10" fontId="5" fillId="5" borderId="1" xfId="10" applyNumberFormat="1" applyFont="1" applyFill="1" applyBorder="1" applyAlignment="1" applyProtection="1">
      <alignment horizontal="center" vertical="center" wrapText="1"/>
      <protection locked="0"/>
    </xf>
    <xf numFmtId="166" fontId="5" fillId="5" borderId="48" xfId="1" applyNumberFormat="1" applyFont="1" applyFill="1" applyBorder="1" applyAlignment="1" applyProtection="1">
      <alignment horizontal="center" vertical="center"/>
      <protection locked="0"/>
    </xf>
    <xf numFmtId="166" fontId="5" fillId="3" borderId="0" xfId="1" applyNumberFormat="1" applyFont="1" applyFill="1" applyBorder="1" applyAlignment="1" applyProtection="1">
      <alignment horizontal="center" vertical="center"/>
      <protection hidden="1"/>
    </xf>
    <xf numFmtId="166" fontId="11" fillId="3" borderId="7" xfId="1" applyNumberFormat="1" applyFont="1" applyFill="1" applyBorder="1" applyAlignment="1" applyProtection="1">
      <alignment horizontal="center" vertical="center"/>
      <protection hidden="1"/>
    </xf>
    <xf numFmtId="4" fontId="11" fillId="3" borderId="7" xfId="1" applyFont="1" applyFill="1" applyBorder="1" applyAlignment="1" applyProtection="1">
      <alignment horizontal="center" vertical="center"/>
      <protection hidden="1"/>
    </xf>
    <xf numFmtId="175" fontId="13" fillId="3" borderId="62" xfId="10" applyNumberFormat="1" applyFont="1" applyFill="1" applyBorder="1" applyAlignment="1" applyProtection="1">
      <alignment horizontal="centerContinuous" vertical="center"/>
      <protection hidden="1"/>
    </xf>
    <xf numFmtId="175" fontId="5" fillId="3" borderId="15" xfId="10" applyNumberFormat="1" applyFont="1" applyFill="1" applyBorder="1" applyAlignment="1" applyProtection="1">
      <alignment horizontal="centerContinuous" vertical="center"/>
      <protection hidden="1"/>
    </xf>
    <xf numFmtId="175" fontId="5" fillId="3" borderId="63" xfId="10" applyNumberFormat="1" applyFont="1" applyFill="1" applyBorder="1" applyAlignment="1" applyProtection="1">
      <alignment horizontal="centerContinuous" vertical="center"/>
      <protection hidden="1"/>
    </xf>
    <xf numFmtId="175" fontId="13" fillId="3" borderId="15" xfId="10" applyNumberFormat="1" applyFont="1" applyFill="1" applyBorder="1" applyAlignment="1" applyProtection="1">
      <alignment horizontal="centerContinuous" vertical="center"/>
      <protection hidden="1"/>
    </xf>
    <xf numFmtId="175" fontId="34" fillId="4" borderId="24" xfId="10" applyNumberFormat="1" applyFont="1" applyFill="1" applyBorder="1" applyAlignment="1" applyProtection="1">
      <alignment horizontal="centerContinuous" vertical="center"/>
      <protection hidden="1"/>
    </xf>
    <xf numFmtId="175" fontId="13" fillId="3" borderId="64" xfId="10" applyNumberFormat="1" applyFont="1" applyFill="1" applyBorder="1" applyAlignment="1" applyProtection="1">
      <alignment horizontal="centerContinuous" vertical="center"/>
      <protection hidden="1"/>
    </xf>
    <xf numFmtId="175" fontId="5" fillId="3" borderId="1" xfId="10" applyNumberFormat="1" applyFont="1" applyFill="1" applyBorder="1" applyAlignment="1" applyProtection="1">
      <alignment horizontal="centerContinuous" vertical="center"/>
      <protection hidden="1"/>
    </xf>
    <xf numFmtId="175" fontId="5" fillId="3" borderId="65" xfId="10" applyNumberFormat="1" applyFont="1" applyFill="1" applyBorder="1" applyAlignment="1" applyProtection="1">
      <alignment horizontal="centerContinuous" vertical="center"/>
      <protection hidden="1"/>
    </xf>
    <xf numFmtId="175" fontId="13" fillId="3" borderId="1" xfId="10" applyNumberFormat="1" applyFont="1" applyFill="1" applyBorder="1" applyAlignment="1" applyProtection="1">
      <alignment horizontal="centerContinuous" vertical="center"/>
      <protection hidden="1"/>
    </xf>
    <xf numFmtId="175" fontId="34" fillId="4" borderId="8" xfId="10" applyNumberFormat="1" applyFont="1" applyFill="1" applyBorder="1" applyAlignment="1" applyProtection="1">
      <alignment horizontal="centerContinuous" vertical="center"/>
      <protection hidden="1"/>
    </xf>
    <xf numFmtId="165" fontId="13" fillId="7" borderId="6" xfId="0" applyFont="1" applyFill="1" applyBorder="1" applyAlignment="1" applyProtection="1">
      <alignment horizontal="left" vertical="center"/>
      <protection hidden="1"/>
    </xf>
    <xf numFmtId="165" fontId="13" fillId="7" borderId="7" xfId="0" applyFont="1" applyFill="1" applyBorder="1" applyAlignment="1" applyProtection="1">
      <alignment horizontal="left" vertical="center"/>
      <protection hidden="1"/>
    </xf>
    <xf numFmtId="165" fontId="11" fillId="8" borderId="3" xfId="0" applyFont="1" applyFill="1" applyBorder="1" applyAlignment="1" applyProtection="1">
      <alignment vertical="center"/>
      <protection hidden="1"/>
    </xf>
    <xf numFmtId="165" fontId="11" fillId="8" borderId="4" xfId="0" applyFont="1" applyFill="1" applyBorder="1" applyAlignment="1" applyProtection="1">
      <alignment vertical="center"/>
      <protection hidden="1"/>
    </xf>
    <xf numFmtId="165" fontId="11" fillId="8" borderId="4" xfId="0" applyFont="1" applyFill="1" applyBorder="1" applyAlignment="1" applyProtection="1">
      <alignment horizontal="right" vertical="center"/>
      <protection hidden="1"/>
    </xf>
    <xf numFmtId="3" fontId="14" fillId="3" borderId="0" xfId="7" applyFont="1" applyFill="1" applyAlignment="1" applyProtection="1">
      <alignment vertical="center"/>
      <protection hidden="1"/>
    </xf>
    <xf numFmtId="3" fontId="22" fillId="3" borderId="0" xfId="7" applyFont="1" applyFill="1" applyAlignment="1" applyProtection="1">
      <alignment vertical="center"/>
      <protection hidden="1"/>
    </xf>
    <xf numFmtId="3" fontId="11" fillId="3" borderId="0" xfId="7" applyFont="1" applyFill="1" applyAlignment="1" applyProtection="1">
      <alignment vertical="center" wrapText="1"/>
      <protection hidden="1"/>
    </xf>
    <xf numFmtId="3" fontId="13" fillId="3" borderId="51" xfId="7" applyFont="1" applyFill="1" applyBorder="1" applyAlignment="1" applyProtection="1">
      <alignment vertical="center" wrapText="1"/>
      <protection hidden="1"/>
    </xf>
    <xf numFmtId="3" fontId="39" fillId="3" borderId="52" xfId="7" applyFont="1" applyFill="1" applyBorder="1" applyAlignment="1" applyProtection="1">
      <alignment vertical="center"/>
      <protection hidden="1"/>
    </xf>
    <xf numFmtId="3" fontId="23" fillId="3" borderId="52" xfId="7" applyFont="1" applyFill="1" applyBorder="1" applyAlignment="1" applyProtection="1">
      <alignment vertical="center" wrapText="1"/>
      <protection hidden="1"/>
    </xf>
    <xf numFmtId="3" fontId="23" fillId="3" borderId="52" xfId="7" applyFont="1" applyFill="1" applyBorder="1" applyAlignment="1" applyProtection="1">
      <alignment horizontal="center" vertical="center" wrapText="1"/>
      <protection hidden="1"/>
    </xf>
    <xf numFmtId="3" fontId="13" fillId="3" borderId="0" xfId="7" applyFont="1" applyFill="1" applyAlignment="1" applyProtection="1">
      <alignment vertical="center" wrapText="1"/>
      <protection hidden="1"/>
    </xf>
    <xf numFmtId="3" fontId="13" fillId="3" borderId="2" xfId="7" applyFont="1" applyFill="1" applyBorder="1" applyAlignment="1" applyProtection="1">
      <alignment vertical="center" wrapText="1"/>
      <protection hidden="1"/>
    </xf>
    <xf numFmtId="3" fontId="5" fillId="3" borderId="0" xfId="7" applyFont="1" applyFill="1" applyBorder="1" applyAlignment="1" applyProtection="1">
      <alignment vertical="center"/>
      <protection hidden="1"/>
    </xf>
    <xf numFmtId="3" fontId="23" fillId="3" borderId="0" xfId="7" applyFont="1" applyFill="1" applyBorder="1" applyAlignment="1" applyProtection="1">
      <alignment horizontal="center" vertical="center" wrapText="1"/>
      <protection hidden="1"/>
    </xf>
    <xf numFmtId="3" fontId="39" fillId="3" borderId="0" xfId="7" applyFont="1" applyFill="1" applyBorder="1" applyAlignment="1" applyProtection="1">
      <alignment vertical="center"/>
      <protection hidden="1"/>
    </xf>
    <xf numFmtId="3" fontId="13" fillId="3" borderId="0" xfId="7" applyFont="1" applyFill="1" applyBorder="1" applyAlignment="1" applyProtection="1">
      <alignment vertical="center"/>
      <protection hidden="1"/>
    </xf>
    <xf numFmtId="3" fontId="5" fillId="3" borderId="2" xfId="7" applyFont="1" applyFill="1" applyBorder="1" applyAlignment="1" applyProtection="1">
      <alignment vertical="center"/>
      <protection hidden="1"/>
    </xf>
    <xf numFmtId="3" fontId="5" fillId="3" borderId="0" xfId="7" applyFont="1" applyFill="1" applyAlignment="1" applyProtection="1">
      <alignment vertical="center"/>
      <protection hidden="1"/>
    </xf>
    <xf numFmtId="3" fontId="23" fillId="3" borderId="0" xfId="7" applyFont="1" applyFill="1" applyBorder="1" applyAlignment="1" applyProtection="1">
      <alignment vertical="center" wrapText="1"/>
      <protection hidden="1"/>
    </xf>
    <xf numFmtId="3" fontId="4" fillId="3" borderId="0" xfId="7" applyFont="1" applyFill="1" applyAlignment="1" applyProtection="1">
      <alignment vertical="center"/>
      <protection hidden="1"/>
    </xf>
    <xf numFmtId="172" fontId="34" fillId="4" borderId="59" xfId="7" applyNumberFormat="1" applyFont="1" applyFill="1" applyBorder="1" applyAlignment="1" applyProtection="1">
      <alignment horizontal="center" vertical="center"/>
      <protection hidden="1"/>
    </xf>
    <xf numFmtId="3" fontId="11" fillId="4" borderId="58" xfId="7" applyFont="1" applyFill="1" applyBorder="1" applyAlignment="1" applyProtection="1">
      <alignment horizontal="center" vertical="center"/>
      <protection hidden="1"/>
    </xf>
    <xf numFmtId="10" fontId="11" fillId="4" borderId="58" xfId="7" applyNumberFormat="1" applyFont="1" applyFill="1" applyBorder="1" applyAlignment="1" applyProtection="1">
      <alignment vertical="center"/>
      <protection hidden="1"/>
    </xf>
    <xf numFmtId="3" fontId="11" fillId="4" borderId="58" xfId="7" applyFont="1" applyFill="1" applyBorder="1" applyAlignment="1" applyProtection="1">
      <alignment vertical="center"/>
      <protection hidden="1"/>
    </xf>
    <xf numFmtId="3" fontId="11" fillId="4" borderId="66" xfId="7" applyFont="1" applyFill="1" applyBorder="1" applyAlignment="1" applyProtection="1">
      <alignment vertical="center"/>
      <protection hidden="1"/>
    </xf>
    <xf numFmtId="3" fontId="6" fillId="3" borderId="0" xfId="7" applyFont="1" applyFill="1" applyAlignment="1" applyProtection="1">
      <alignment vertical="center"/>
      <protection hidden="1"/>
    </xf>
    <xf numFmtId="3" fontId="6" fillId="3" borderId="0" xfId="7" applyFont="1" applyFill="1" applyAlignment="1" applyProtection="1">
      <alignment horizontal="center" vertical="center"/>
      <protection hidden="1"/>
    </xf>
    <xf numFmtId="10" fontId="6" fillId="3" borderId="0" xfId="7" applyNumberFormat="1" applyFont="1" applyFill="1" applyAlignment="1" applyProtection="1">
      <alignment vertical="center"/>
      <protection hidden="1"/>
    </xf>
    <xf numFmtId="3" fontId="6" fillId="3" borderId="42" xfId="7" applyFont="1" applyFill="1" applyBorder="1" applyAlignment="1" applyProtection="1">
      <alignment horizontal="center" vertical="center"/>
      <protection hidden="1"/>
    </xf>
    <xf numFmtId="3" fontId="6" fillId="3" borderId="9" xfId="7" applyFont="1" applyFill="1" applyBorder="1" applyAlignment="1" applyProtection="1">
      <alignment vertical="center"/>
      <protection hidden="1"/>
    </xf>
    <xf numFmtId="3" fontId="6" fillId="3" borderId="9" xfId="7" applyFont="1" applyFill="1" applyBorder="1" applyAlignment="1" applyProtection="1">
      <alignment horizontal="center" vertical="center"/>
      <protection hidden="1"/>
    </xf>
    <xf numFmtId="3" fontId="6" fillId="3" borderId="9" xfId="7" applyFont="1" applyFill="1" applyBorder="1" applyAlignment="1" applyProtection="1">
      <alignment vertical="center" wrapText="1"/>
      <protection hidden="1"/>
    </xf>
    <xf numFmtId="3" fontId="21" fillId="3" borderId="0" xfId="7" applyFont="1" applyFill="1" applyBorder="1" applyAlignment="1" applyProtection="1">
      <alignment vertical="center" wrapText="1"/>
      <protection hidden="1"/>
    </xf>
    <xf numFmtId="10" fontId="6" fillId="3" borderId="9" xfId="10" applyNumberFormat="1" applyFont="1" applyFill="1" applyBorder="1" applyAlignment="1" applyProtection="1">
      <alignment horizontal="center" vertical="center"/>
      <protection hidden="1"/>
    </xf>
    <xf numFmtId="4" fontId="6" fillId="3" borderId="9" xfId="10" applyNumberFormat="1" applyFont="1" applyFill="1" applyBorder="1" applyAlignment="1" applyProtection="1">
      <alignment horizontal="center" vertical="center"/>
      <protection hidden="1"/>
    </xf>
    <xf numFmtId="3" fontId="6" fillId="3" borderId="0" xfId="7" applyFont="1" applyFill="1" applyBorder="1" applyAlignment="1" applyProtection="1">
      <alignment vertical="center"/>
      <protection hidden="1"/>
    </xf>
    <xf numFmtId="4" fontId="6" fillId="3" borderId="0" xfId="10" applyNumberFormat="1" applyFont="1" applyFill="1" applyBorder="1" applyAlignment="1" applyProtection="1">
      <alignment horizontal="center" vertical="center"/>
      <protection hidden="1"/>
    </xf>
    <xf numFmtId="3" fontId="6" fillId="3" borderId="0" xfId="7" applyFont="1" applyFill="1" applyBorder="1" applyAlignment="1" applyProtection="1">
      <alignment horizontal="center" vertical="center"/>
      <protection hidden="1"/>
    </xf>
    <xf numFmtId="10" fontId="5" fillId="5" borderId="0" xfId="10" applyNumberFormat="1" applyFont="1" applyFill="1" applyBorder="1" applyAlignment="1" applyProtection="1">
      <alignment horizontal="center" vertical="center" wrapText="1"/>
      <protection locked="0"/>
    </xf>
    <xf numFmtId="174" fontId="5" fillId="5" borderId="0" xfId="8" applyNumberFormat="1" applyFont="1" applyFill="1" applyBorder="1" applyAlignment="1" applyProtection="1">
      <alignment horizontal="center" vertical="center" wrapText="1"/>
      <protection locked="0"/>
    </xf>
    <xf numFmtId="3" fontId="5" fillId="5" borderId="67" xfId="9" applyFont="1" applyFill="1" applyBorder="1" applyAlignment="1" applyProtection="1">
      <alignment vertical="center" wrapText="1"/>
      <protection locked="0"/>
    </xf>
    <xf numFmtId="3" fontId="5" fillId="5" borderId="68" xfId="9" applyFont="1" applyFill="1" applyBorder="1" applyAlignment="1" applyProtection="1">
      <alignment horizontal="center" vertical="center" wrapText="1"/>
      <protection locked="0"/>
    </xf>
    <xf numFmtId="3" fontId="5" fillId="5" borderId="38" xfId="9" applyFont="1" applyFill="1" applyBorder="1" applyAlignment="1" applyProtection="1">
      <alignment horizontal="center" vertical="center" wrapText="1"/>
      <protection locked="0"/>
    </xf>
    <xf numFmtId="9" fontId="5" fillId="9" borderId="39" xfId="9" applyNumberFormat="1" applyFont="1" applyFill="1" applyBorder="1" applyAlignment="1" applyProtection="1">
      <alignment horizontal="center" vertical="center" wrapText="1"/>
      <protection locked="0"/>
    </xf>
    <xf numFmtId="10" fontId="5" fillId="5" borderId="44" xfId="9" applyNumberFormat="1" applyFont="1" applyFill="1" applyBorder="1" applyAlignment="1" applyProtection="1">
      <alignment horizontal="center" vertical="center" wrapText="1"/>
      <protection locked="0"/>
    </xf>
    <xf numFmtId="10" fontId="5" fillId="5" borderId="40" xfId="9" applyNumberFormat="1" applyFont="1" applyFill="1" applyBorder="1" applyAlignment="1" applyProtection="1">
      <alignment horizontal="center" vertical="center" wrapText="1"/>
      <protection locked="0"/>
    </xf>
    <xf numFmtId="10" fontId="5" fillId="9" borderId="44" xfId="9" applyNumberFormat="1" applyFont="1" applyFill="1" applyBorder="1" applyAlignment="1" applyProtection="1">
      <alignment horizontal="center" vertical="center" wrapText="1"/>
      <protection locked="0"/>
    </xf>
    <xf numFmtId="3" fontId="5" fillId="9" borderId="2" xfId="6" applyFont="1" applyFill="1" applyBorder="1" applyAlignment="1" applyProtection="1">
      <alignment horizontal="left" vertical="center"/>
      <protection locked="0"/>
    </xf>
    <xf numFmtId="10" fontId="5" fillId="9" borderId="9" xfId="9" applyNumberFormat="1" applyFont="1" applyFill="1" applyBorder="1" applyAlignment="1" applyProtection="1">
      <alignment horizontal="center" vertical="center" wrapText="1"/>
      <protection locked="0"/>
    </xf>
    <xf numFmtId="10" fontId="5" fillId="9" borderId="48" xfId="6" applyNumberFormat="1" applyFont="1" applyFill="1" applyBorder="1" applyAlignment="1" applyProtection="1">
      <alignment horizontal="center" vertical="center"/>
      <protection locked="0"/>
    </xf>
    <xf numFmtId="10" fontId="5" fillId="9" borderId="0" xfId="6" applyNumberFormat="1" applyFont="1" applyFill="1" applyBorder="1" applyAlignment="1" applyProtection="1">
      <alignment horizontal="center" vertical="center"/>
      <protection locked="0"/>
    </xf>
    <xf numFmtId="10" fontId="5" fillId="9" borderId="40" xfId="0" applyNumberFormat="1" applyFont="1" applyFill="1" applyBorder="1" applyAlignment="1" applyProtection="1">
      <alignment horizontal="center" vertical="center"/>
      <protection locked="0"/>
    </xf>
    <xf numFmtId="169" fontId="5" fillId="9" borderId="40" xfId="0" applyNumberFormat="1" applyFont="1" applyFill="1" applyBorder="1" applyAlignment="1" applyProtection="1">
      <alignment horizontal="center" vertical="center"/>
      <protection locked="0"/>
    </xf>
    <xf numFmtId="169" fontId="5" fillId="9" borderId="47" xfId="0" applyNumberFormat="1" applyFont="1" applyFill="1" applyBorder="1" applyAlignment="1" applyProtection="1">
      <alignment horizontal="center" vertical="center"/>
      <protection locked="0"/>
    </xf>
    <xf numFmtId="10" fontId="5" fillId="9" borderId="47" xfId="0" applyNumberFormat="1" applyFont="1" applyFill="1" applyBorder="1" applyAlignment="1" applyProtection="1">
      <alignment horizontal="center" vertical="center"/>
      <protection locked="0"/>
    </xf>
    <xf numFmtId="165" fontId="13" fillId="3" borderId="0" xfId="0" applyFont="1" applyFill="1" applyAlignment="1" applyProtection="1">
      <alignment vertical="center"/>
      <protection hidden="1"/>
    </xf>
    <xf numFmtId="165" fontId="34" fillId="4" borderId="22" xfId="0" applyFont="1" applyFill="1" applyBorder="1" applyAlignment="1" applyProtection="1">
      <alignment vertical="center"/>
      <protection hidden="1"/>
    </xf>
    <xf numFmtId="165" fontId="34" fillId="4" borderId="20" xfId="0" applyFont="1" applyFill="1" applyBorder="1" applyAlignment="1" applyProtection="1">
      <alignment horizontal="center" vertical="center"/>
      <protection hidden="1"/>
    </xf>
    <xf numFmtId="3" fontId="5" fillId="3" borderId="2" xfId="6" applyFont="1" applyFill="1" applyBorder="1" applyAlignment="1" applyProtection="1">
      <alignment horizontal="left" vertical="center"/>
      <protection hidden="1"/>
    </xf>
    <xf numFmtId="10" fontId="5" fillId="9" borderId="56" xfId="0" applyNumberFormat="1" applyFont="1" applyFill="1" applyBorder="1" applyAlignment="1" applyProtection="1">
      <alignment horizontal="center" vertical="center"/>
      <protection locked="0"/>
    </xf>
    <xf numFmtId="165" fontId="12" fillId="4" borderId="55" xfId="0" applyFont="1" applyFill="1" applyBorder="1" applyAlignment="1" applyProtection="1">
      <alignment vertical="center"/>
    </xf>
    <xf numFmtId="165" fontId="12" fillId="4" borderId="0" xfId="0" applyFont="1" applyFill="1" applyAlignment="1" applyProtection="1">
      <alignment vertical="center"/>
    </xf>
    <xf numFmtId="165" fontId="12" fillId="4" borderId="0" xfId="0" applyFont="1" applyFill="1" applyAlignment="1" applyProtection="1">
      <alignment horizontal="right" vertical="center"/>
    </xf>
    <xf numFmtId="165" fontId="12" fillId="3" borderId="0" xfId="0" applyFont="1" applyFill="1" applyAlignment="1" applyProtection="1">
      <alignment vertical="center"/>
    </xf>
    <xf numFmtId="165" fontId="5" fillId="3" borderId="0" xfId="0" applyFont="1" applyFill="1" applyAlignment="1" applyProtection="1">
      <alignment vertical="center"/>
    </xf>
    <xf numFmtId="165" fontId="6" fillId="3" borderId="0" xfId="0" applyFont="1" applyFill="1" applyAlignment="1" applyProtection="1">
      <alignment vertical="center"/>
    </xf>
    <xf numFmtId="165" fontId="40" fillId="4" borderId="41" xfId="0" applyFont="1" applyFill="1" applyBorder="1" applyAlignment="1" applyProtection="1">
      <alignment horizontal="centerContinuous" vertical="center"/>
    </xf>
    <xf numFmtId="165" fontId="40" fillId="4" borderId="42" xfId="0" applyFont="1" applyFill="1" applyBorder="1" applyAlignment="1" applyProtection="1">
      <alignment horizontal="centerContinuous" vertical="center"/>
    </xf>
    <xf numFmtId="165" fontId="40" fillId="4" borderId="4" xfId="0" applyFont="1" applyFill="1" applyBorder="1" applyAlignment="1" applyProtection="1">
      <alignment horizontal="centerContinuous" vertical="center"/>
    </xf>
    <xf numFmtId="165" fontId="13" fillId="3" borderId="0" xfId="0" applyFont="1" applyFill="1" applyAlignment="1" applyProtection="1">
      <alignment vertical="center"/>
    </xf>
    <xf numFmtId="165" fontId="40" fillId="4" borderId="9" xfId="0" applyFont="1" applyFill="1" applyBorder="1" applyAlignment="1" applyProtection="1">
      <alignment horizontal="center" vertical="center"/>
    </xf>
    <xf numFmtId="165" fontId="9" fillId="3" borderId="30" xfId="0" applyFont="1" applyFill="1" applyBorder="1" applyAlignment="1" applyProtection="1">
      <alignment vertical="center"/>
    </xf>
    <xf numFmtId="164" fontId="5" fillId="3" borderId="30" xfId="0" applyNumberFormat="1" applyFont="1" applyFill="1" applyBorder="1" applyAlignment="1" applyProtection="1">
      <alignment vertical="center"/>
    </xf>
    <xf numFmtId="164" fontId="5" fillId="3" borderId="15" xfId="0" applyNumberFormat="1" applyFont="1" applyFill="1" applyBorder="1" applyAlignment="1" applyProtection="1">
      <alignment vertical="center"/>
    </xf>
    <xf numFmtId="164" fontId="5" fillId="3" borderId="0" xfId="0" applyNumberFormat="1" applyFont="1" applyFill="1" applyBorder="1" applyAlignment="1" applyProtection="1">
      <alignment vertical="center"/>
    </xf>
    <xf numFmtId="165" fontId="5" fillId="3" borderId="40" xfId="0" applyFont="1" applyFill="1" applyBorder="1" applyAlignment="1" applyProtection="1">
      <alignment vertical="center"/>
    </xf>
    <xf numFmtId="164" fontId="5" fillId="3" borderId="40" xfId="0" applyNumberFormat="1" applyFont="1" applyFill="1" applyBorder="1" applyAlignment="1" applyProtection="1">
      <alignment vertical="center"/>
    </xf>
    <xf numFmtId="164" fontId="5" fillId="3" borderId="15" xfId="0" applyNumberFormat="1" applyFont="1" applyFill="1" applyBorder="1" applyAlignment="1" applyProtection="1">
      <alignment horizontal="center" vertical="center"/>
    </xf>
    <xf numFmtId="165" fontId="5" fillId="3" borderId="27" xfId="0" applyFont="1" applyFill="1" applyBorder="1" applyAlignment="1" applyProtection="1">
      <alignment vertical="center"/>
    </xf>
    <xf numFmtId="164" fontId="5" fillId="3" borderId="9" xfId="0" applyNumberFormat="1" applyFont="1" applyFill="1" applyBorder="1" applyAlignment="1" applyProtection="1">
      <alignment vertical="center"/>
    </xf>
    <xf numFmtId="164" fontId="5" fillId="3" borderId="42" xfId="0" applyNumberFormat="1" applyFont="1" applyFill="1" applyBorder="1" applyAlignment="1" applyProtection="1">
      <alignment vertical="center"/>
    </xf>
    <xf numFmtId="164" fontId="5" fillId="3" borderId="63" xfId="0" applyNumberFormat="1" applyFont="1" applyFill="1" applyBorder="1" applyAlignment="1" applyProtection="1">
      <alignment vertical="center"/>
    </xf>
    <xf numFmtId="164" fontId="5" fillId="3" borderId="55" xfId="0" applyNumberFormat="1" applyFont="1" applyFill="1" applyBorder="1" applyAlignment="1" applyProtection="1">
      <alignment vertical="center"/>
    </xf>
    <xf numFmtId="168" fontId="5" fillId="3" borderId="15" xfId="0" applyNumberFormat="1" applyFont="1" applyFill="1" applyBorder="1" applyAlignment="1" applyProtection="1">
      <alignment horizontal="left" vertical="center"/>
    </xf>
    <xf numFmtId="164" fontId="5" fillId="3" borderId="48" xfId="0" applyNumberFormat="1" applyFont="1" applyFill="1" applyBorder="1" applyAlignment="1" applyProtection="1">
      <alignment vertical="center"/>
    </xf>
    <xf numFmtId="164" fontId="5" fillId="3" borderId="27" xfId="0" applyNumberFormat="1" applyFont="1" applyFill="1" applyBorder="1" applyAlignment="1" applyProtection="1">
      <alignment vertical="center"/>
    </xf>
    <xf numFmtId="165" fontId="5" fillId="3" borderId="55" xfId="0" applyFont="1" applyFill="1" applyBorder="1" applyAlignment="1" applyProtection="1">
      <alignment vertical="center"/>
    </xf>
    <xf numFmtId="168" fontId="5" fillId="3" borderId="63" xfId="0" applyNumberFormat="1" applyFont="1" applyFill="1" applyBorder="1" applyAlignment="1" applyProtection="1">
      <alignment horizontal="left" vertical="center"/>
    </xf>
    <xf numFmtId="165" fontId="4" fillId="3" borderId="0" xfId="0" applyFont="1" applyFill="1" applyBorder="1" applyAlignment="1" applyProtection="1">
      <alignment vertical="center"/>
    </xf>
    <xf numFmtId="165" fontId="13" fillId="3" borderId="9" xfId="0" applyFont="1" applyFill="1" applyBorder="1" applyAlignment="1" applyProtection="1">
      <alignment vertical="center"/>
    </xf>
    <xf numFmtId="164" fontId="13" fillId="3" borderId="9" xfId="0" applyNumberFormat="1" applyFont="1" applyFill="1" applyBorder="1" applyAlignment="1" applyProtection="1">
      <alignment vertical="center"/>
    </xf>
    <xf numFmtId="164" fontId="13" fillId="3" borderId="41" xfId="0" applyNumberFormat="1" applyFont="1" applyFill="1" applyBorder="1" applyAlignment="1" applyProtection="1">
      <alignment horizontal="centerContinuous" vertical="center"/>
    </xf>
    <xf numFmtId="164" fontId="13" fillId="3" borderId="42" xfId="0" applyNumberFormat="1" applyFont="1" applyFill="1" applyBorder="1" applyAlignment="1" applyProtection="1">
      <alignment horizontal="centerContinuous" vertical="center"/>
    </xf>
    <xf numFmtId="164" fontId="5" fillId="3" borderId="63" xfId="0" applyNumberFormat="1" applyFont="1" applyFill="1" applyBorder="1" applyAlignment="1" applyProtection="1">
      <alignment horizontal="center" vertical="center"/>
    </xf>
    <xf numFmtId="168" fontId="5" fillId="3" borderId="15" xfId="0" applyNumberFormat="1" applyFont="1" applyFill="1" applyBorder="1" applyAlignment="1" applyProtection="1">
      <alignment horizontal="center" vertical="center"/>
    </xf>
    <xf numFmtId="168" fontId="5" fillId="3" borderId="63" xfId="0" applyNumberFormat="1" applyFont="1" applyFill="1" applyBorder="1" applyAlignment="1" applyProtection="1">
      <alignment horizontal="center" vertical="center"/>
    </xf>
    <xf numFmtId="165" fontId="5" fillId="3" borderId="9" xfId="0" applyFont="1" applyFill="1" applyBorder="1" applyAlignment="1" applyProtection="1">
      <alignment vertical="center"/>
    </xf>
    <xf numFmtId="164" fontId="5" fillId="3" borderId="41" xfId="0" applyNumberFormat="1" applyFont="1" applyFill="1" applyBorder="1" applyAlignment="1" applyProtection="1">
      <alignment horizontal="centerContinuous" vertical="center"/>
    </xf>
    <xf numFmtId="164" fontId="5" fillId="3" borderId="42" xfId="0" applyNumberFormat="1" applyFont="1" applyFill="1" applyBorder="1" applyAlignment="1" applyProtection="1">
      <alignment horizontal="centerContinuous" vertical="center"/>
    </xf>
    <xf numFmtId="164" fontId="5" fillId="3" borderId="0" xfId="0" applyNumberFormat="1" applyFont="1" applyFill="1" applyBorder="1" applyAlignment="1" applyProtection="1">
      <alignment horizontal="right" vertical="center"/>
    </xf>
    <xf numFmtId="164" fontId="5" fillId="3" borderId="55" xfId="0" applyNumberFormat="1" applyFont="1" applyFill="1" applyBorder="1" applyAlignment="1" applyProtection="1">
      <alignment horizontal="right" vertical="center"/>
    </xf>
    <xf numFmtId="164" fontId="5" fillId="3" borderId="41" xfId="0" applyNumberFormat="1" applyFont="1" applyFill="1" applyBorder="1" applyAlignment="1" applyProtection="1">
      <alignment horizontal="center" vertical="center"/>
    </xf>
    <xf numFmtId="164" fontId="5" fillId="3" borderId="42" xfId="0" applyNumberFormat="1" applyFont="1" applyFill="1" applyBorder="1" applyAlignment="1" applyProtection="1">
      <alignment horizontal="center" vertical="center"/>
    </xf>
    <xf numFmtId="165" fontId="5" fillId="3" borderId="40" xfId="4" applyFont="1" applyFill="1" applyBorder="1" applyAlignment="1" applyProtection="1">
      <alignment vertical="center"/>
    </xf>
    <xf numFmtId="164" fontId="5" fillId="3" borderId="41" xfId="0" applyNumberFormat="1" applyFont="1" applyFill="1" applyBorder="1" applyAlignment="1" applyProtection="1">
      <alignment horizontal="right" vertical="center"/>
    </xf>
    <xf numFmtId="165" fontId="12" fillId="3" borderId="0" xfId="0" applyFont="1" applyFill="1" applyAlignment="1" applyProtection="1">
      <alignment vertical="center"/>
      <protection hidden="1"/>
    </xf>
    <xf numFmtId="169" fontId="34" fillId="4" borderId="20" xfId="0" applyNumberFormat="1" applyFont="1" applyFill="1" applyBorder="1" applyAlignment="1" applyProtection="1">
      <alignment horizontal="center" vertical="center"/>
      <protection hidden="1"/>
    </xf>
    <xf numFmtId="168" fontId="5" fillId="3" borderId="15" xfId="0" applyNumberFormat="1" applyFont="1" applyFill="1" applyBorder="1" applyAlignment="1" applyProtection="1">
      <alignment vertical="center"/>
      <protection hidden="1"/>
    </xf>
    <xf numFmtId="9" fontId="5" fillId="3" borderId="15" xfId="10" applyFont="1" applyFill="1" applyBorder="1" applyAlignment="1" applyProtection="1">
      <alignment horizontal="center" vertical="center"/>
      <protection hidden="1"/>
    </xf>
    <xf numFmtId="168" fontId="5" fillId="3" borderId="1" xfId="0" applyNumberFormat="1" applyFont="1" applyFill="1" applyBorder="1" applyAlignment="1" applyProtection="1">
      <alignment vertical="center"/>
      <protection hidden="1"/>
    </xf>
    <xf numFmtId="9" fontId="5" fillId="3" borderId="40" xfId="10" applyFont="1" applyFill="1" applyBorder="1" applyAlignment="1" applyProtection="1">
      <alignment horizontal="center" vertical="center"/>
      <protection hidden="1"/>
    </xf>
    <xf numFmtId="165" fontId="5" fillId="3" borderId="54" xfId="0" applyFont="1" applyFill="1" applyBorder="1" applyAlignment="1" applyProtection="1">
      <alignment vertical="center"/>
      <protection hidden="1"/>
    </xf>
    <xf numFmtId="165" fontId="5" fillId="3" borderId="63" xfId="0" applyFont="1" applyFill="1" applyBorder="1" applyAlignment="1" applyProtection="1">
      <alignment vertical="center"/>
      <protection hidden="1"/>
    </xf>
    <xf numFmtId="168" fontId="5" fillId="3" borderId="63" xfId="0" applyNumberFormat="1" applyFont="1" applyFill="1" applyBorder="1" applyAlignment="1" applyProtection="1">
      <alignment vertical="center"/>
      <protection hidden="1"/>
    </xf>
    <xf numFmtId="9" fontId="5" fillId="3" borderId="63" xfId="10" applyFont="1" applyFill="1" applyBorder="1" applyAlignment="1" applyProtection="1">
      <alignment horizontal="center" vertical="center"/>
      <protection hidden="1"/>
    </xf>
    <xf numFmtId="168" fontId="5" fillId="3" borderId="65" xfId="0" applyNumberFormat="1" applyFont="1" applyFill="1" applyBorder="1" applyAlignment="1" applyProtection="1">
      <alignment vertical="center"/>
      <protection hidden="1"/>
    </xf>
    <xf numFmtId="168" fontId="5" fillId="3" borderId="40" xfId="0" applyNumberFormat="1" applyFont="1" applyFill="1" applyBorder="1" applyAlignment="1" applyProtection="1">
      <alignment vertical="center"/>
      <protection hidden="1"/>
    </xf>
    <xf numFmtId="168" fontId="13" fillId="7" borderId="33" xfId="0" applyNumberFormat="1" applyFont="1" applyFill="1" applyBorder="1" applyAlignment="1" applyProtection="1">
      <alignment vertical="center"/>
      <protection hidden="1"/>
    </xf>
    <xf numFmtId="9" fontId="13" fillId="7" borderId="33" xfId="10" applyFont="1" applyFill="1" applyBorder="1" applyAlignment="1" applyProtection="1">
      <alignment horizontal="center" vertical="center"/>
      <protection hidden="1"/>
    </xf>
    <xf numFmtId="168" fontId="13" fillId="7" borderId="34" xfId="0" applyNumberFormat="1" applyFont="1" applyFill="1" applyBorder="1" applyAlignment="1" applyProtection="1">
      <alignment vertical="center"/>
      <protection hidden="1"/>
    </xf>
    <xf numFmtId="165" fontId="34" fillId="4" borderId="21" xfId="0" applyFont="1" applyFill="1" applyBorder="1" applyAlignment="1" applyProtection="1">
      <alignment horizontal="center" vertical="center"/>
      <protection hidden="1"/>
    </xf>
    <xf numFmtId="9" fontId="5" fillId="9" borderId="40" xfId="10" applyFont="1" applyFill="1" applyBorder="1" applyAlignment="1" applyProtection="1">
      <alignment horizontal="center" vertical="center"/>
      <protection locked="0"/>
    </xf>
    <xf numFmtId="9" fontId="5" fillId="9" borderId="15" xfId="10" applyFont="1" applyFill="1" applyBorder="1" applyAlignment="1" applyProtection="1">
      <alignment horizontal="center" vertical="center"/>
      <protection locked="0"/>
    </xf>
    <xf numFmtId="9" fontId="5" fillId="9" borderId="27" xfId="10" applyFont="1" applyFill="1" applyBorder="1" applyAlignment="1" applyProtection="1">
      <alignment horizontal="center" vertical="center"/>
      <protection locked="0"/>
    </xf>
    <xf numFmtId="9" fontId="5" fillId="9" borderId="63" xfId="10" applyFont="1" applyFill="1" applyBorder="1" applyAlignment="1" applyProtection="1">
      <alignment horizontal="center" vertical="center"/>
      <protection locked="0"/>
    </xf>
    <xf numFmtId="168" fontId="35" fillId="4" borderId="58" xfId="0" applyNumberFormat="1" applyFont="1" applyFill="1" applyBorder="1" applyAlignment="1" applyProtection="1">
      <alignment horizontal="center" vertical="center"/>
      <protection hidden="1"/>
    </xf>
    <xf numFmtId="168" fontId="35" fillId="4" borderId="66" xfId="0" applyNumberFormat="1" applyFont="1" applyFill="1" applyBorder="1" applyAlignment="1" applyProtection="1">
      <alignment horizontal="center" vertical="center"/>
      <protection hidden="1"/>
    </xf>
    <xf numFmtId="168" fontId="14" fillId="3" borderId="0" xfId="0" applyNumberFormat="1" applyFont="1" applyFill="1" applyAlignment="1" applyProtection="1">
      <alignment vertical="center"/>
      <protection hidden="1"/>
    </xf>
    <xf numFmtId="168" fontId="11" fillId="8" borderId="43" xfId="0" applyNumberFormat="1" applyFont="1" applyFill="1" applyBorder="1" applyAlignment="1" applyProtection="1">
      <alignment vertical="center"/>
      <protection hidden="1"/>
    </xf>
    <xf numFmtId="168" fontId="11" fillId="8" borderId="69" xfId="0" applyNumberFormat="1" applyFont="1" applyFill="1" applyBorder="1" applyAlignment="1" applyProtection="1">
      <alignment vertical="center"/>
      <protection hidden="1"/>
    </xf>
    <xf numFmtId="168" fontId="11" fillId="8" borderId="69" xfId="0" applyNumberFormat="1" applyFont="1" applyFill="1" applyBorder="1" applyAlignment="1" applyProtection="1">
      <alignment horizontal="center" vertical="center"/>
      <protection hidden="1"/>
    </xf>
    <xf numFmtId="168" fontId="11" fillId="8" borderId="70" xfId="0" applyNumberFormat="1" applyFont="1" applyFill="1" applyBorder="1" applyAlignment="1" applyProtection="1">
      <alignment horizontal="center" vertical="center"/>
      <protection hidden="1"/>
    </xf>
    <xf numFmtId="168" fontId="11" fillId="3" borderId="0" xfId="0" applyNumberFormat="1" applyFont="1" applyFill="1" applyAlignment="1" applyProtection="1">
      <alignment vertical="center"/>
      <protection hidden="1"/>
    </xf>
    <xf numFmtId="168" fontId="11" fillId="3" borderId="43" xfId="0" applyNumberFormat="1" applyFont="1" applyFill="1" applyBorder="1" applyAlignment="1" applyProtection="1">
      <alignment vertical="center"/>
      <protection hidden="1"/>
    </xf>
    <xf numFmtId="168" fontId="11" fillId="3" borderId="69" xfId="0" applyNumberFormat="1" applyFont="1" applyFill="1" applyBorder="1" applyAlignment="1" applyProtection="1">
      <alignment vertical="center"/>
      <protection hidden="1"/>
    </xf>
    <xf numFmtId="168" fontId="11" fillId="3" borderId="69" xfId="0" applyNumberFormat="1" applyFont="1" applyFill="1" applyBorder="1" applyAlignment="1" applyProtection="1">
      <alignment horizontal="center" vertical="center"/>
      <protection hidden="1"/>
    </xf>
    <xf numFmtId="168" fontId="11" fillId="3" borderId="70" xfId="0" applyNumberFormat="1" applyFont="1" applyFill="1" applyBorder="1" applyAlignment="1" applyProtection="1">
      <alignment horizontal="center" vertical="center"/>
      <protection hidden="1"/>
    </xf>
    <xf numFmtId="168" fontId="5" fillId="3" borderId="2" xfId="0" applyNumberFormat="1" applyFont="1" applyFill="1" applyBorder="1" applyAlignment="1" applyProtection="1">
      <alignment horizontal="center" vertical="center"/>
      <protection hidden="1"/>
    </xf>
    <xf numFmtId="168" fontId="5" fillId="3" borderId="0" xfId="0" applyNumberFormat="1" applyFont="1" applyFill="1" applyBorder="1" applyAlignment="1" applyProtection="1">
      <alignment horizontal="center" vertical="center"/>
      <protection hidden="1"/>
    </xf>
    <xf numFmtId="168" fontId="5" fillId="3" borderId="1" xfId="0" applyNumberFormat="1" applyFont="1" applyFill="1" applyBorder="1" applyAlignment="1" applyProtection="1">
      <alignment horizontal="center" vertical="center"/>
      <protection hidden="1"/>
    </xf>
    <xf numFmtId="168" fontId="5" fillId="3" borderId="0" xfId="0" applyNumberFormat="1" applyFont="1" applyFill="1" applyAlignment="1" applyProtection="1">
      <alignment vertical="center"/>
      <protection hidden="1"/>
    </xf>
    <xf numFmtId="168" fontId="11" fillId="3" borderId="2" xfId="0" applyNumberFormat="1" applyFont="1" applyFill="1" applyBorder="1" applyAlignment="1" applyProtection="1">
      <alignment horizontal="left" vertical="center"/>
      <protection hidden="1"/>
    </xf>
    <xf numFmtId="168" fontId="11" fillId="3" borderId="0" xfId="0" applyNumberFormat="1" applyFont="1" applyFill="1" applyBorder="1" applyAlignment="1" applyProtection="1">
      <alignment horizontal="center" vertical="center"/>
      <protection hidden="1"/>
    </xf>
    <xf numFmtId="168" fontId="11" fillId="3" borderId="1" xfId="0" applyNumberFormat="1" applyFont="1" applyFill="1" applyBorder="1" applyAlignment="1" applyProtection="1">
      <alignment horizontal="center" vertical="center"/>
      <protection hidden="1"/>
    </xf>
    <xf numFmtId="168" fontId="13" fillId="3" borderId="2" xfId="0" applyNumberFormat="1" applyFont="1" applyFill="1" applyBorder="1" applyAlignment="1" applyProtection="1">
      <alignment horizontal="center" vertical="center"/>
      <protection hidden="1"/>
    </xf>
    <xf numFmtId="168" fontId="13" fillId="3" borderId="0" xfId="0" applyNumberFormat="1" applyFont="1" applyFill="1" applyBorder="1" applyAlignment="1" applyProtection="1">
      <alignment horizontal="center" vertical="center"/>
      <protection hidden="1"/>
    </xf>
    <xf numFmtId="168" fontId="13" fillId="3" borderId="1" xfId="0" applyNumberFormat="1" applyFont="1" applyFill="1" applyBorder="1" applyAlignment="1" applyProtection="1">
      <alignment horizontal="center" vertical="center"/>
      <protection hidden="1"/>
    </xf>
    <xf numFmtId="168" fontId="13" fillId="3" borderId="0" xfId="0" applyNumberFormat="1" applyFont="1" applyFill="1" applyAlignment="1" applyProtection="1">
      <alignment vertical="center"/>
      <protection hidden="1"/>
    </xf>
    <xf numFmtId="168" fontId="13" fillId="3" borderId="55" xfId="0" applyNumberFormat="1" applyFont="1" applyFill="1" applyBorder="1" applyAlignment="1" applyProtection="1">
      <alignment horizontal="center" vertical="center"/>
      <protection hidden="1"/>
    </xf>
    <xf numFmtId="168" fontId="13" fillId="3" borderId="65" xfId="0" applyNumberFormat="1" applyFont="1" applyFill="1" applyBorder="1" applyAlignment="1" applyProtection="1">
      <alignment horizontal="center" vertical="center"/>
      <protection hidden="1"/>
    </xf>
    <xf numFmtId="168" fontId="11" fillId="8" borderId="3" xfId="0" applyNumberFormat="1" applyFont="1" applyFill="1" applyBorder="1" applyAlignment="1" applyProtection="1">
      <alignment horizontal="center" vertical="center"/>
      <protection hidden="1"/>
    </xf>
    <xf numFmtId="168" fontId="11" fillId="8" borderId="4" xfId="0" applyNumberFormat="1" applyFont="1" applyFill="1" applyBorder="1" applyAlignment="1" applyProtection="1">
      <alignment vertical="center"/>
      <protection hidden="1"/>
    </xf>
    <xf numFmtId="168" fontId="11" fillId="8" borderId="4" xfId="0" applyNumberFormat="1" applyFont="1" applyFill="1" applyBorder="1" applyAlignment="1" applyProtection="1">
      <alignment horizontal="center" vertical="center"/>
      <protection hidden="1"/>
    </xf>
    <xf numFmtId="168" fontId="11" fillId="8" borderId="5" xfId="0" applyNumberFormat="1" applyFont="1" applyFill="1" applyBorder="1" applyAlignment="1" applyProtection="1">
      <alignment horizontal="center" vertical="center"/>
      <protection hidden="1"/>
    </xf>
    <xf numFmtId="168" fontId="11" fillId="8" borderId="57" xfId="0" applyNumberFormat="1" applyFont="1" applyFill="1" applyBorder="1" applyAlignment="1" applyProtection="1">
      <alignment horizontal="center" vertical="center"/>
      <protection hidden="1"/>
    </xf>
    <xf numFmtId="168" fontId="11" fillId="8" borderId="58" xfId="0" applyNumberFormat="1" applyFont="1" applyFill="1" applyBorder="1" applyAlignment="1" applyProtection="1">
      <alignment vertical="center"/>
      <protection hidden="1"/>
    </xf>
    <xf numFmtId="168" fontId="11" fillId="8" borderId="58" xfId="0" applyNumberFormat="1" applyFont="1" applyFill="1" applyBorder="1" applyAlignment="1" applyProtection="1">
      <alignment horizontal="center" vertical="center"/>
      <protection hidden="1"/>
    </xf>
    <xf numFmtId="168" fontId="11" fillId="8" borderId="66" xfId="0" applyNumberFormat="1" applyFont="1" applyFill="1" applyBorder="1" applyAlignment="1" applyProtection="1">
      <alignment horizontal="center" vertical="center"/>
      <protection hidden="1"/>
    </xf>
    <xf numFmtId="168" fontId="5" fillId="3" borderId="54" xfId="0" applyNumberFormat="1" applyFont="1" applyFill="1" applyBorder="1" applyAlignment="1" applyProtection="1">
      <alignment horizontal="center" vertical="center"/>
      <protection hidden="1"/>
    </xf>
    <xf numFmtId="168" fontId="5" fillId="3" borderId="55" xfId="0" applyNumberFormat="1" applyFont="1" applyFill="1" applyBorder="1" applyAlignment="1" applyProtection="1">
      <alignment horizontal="center" vertical="center"/>
      <protection hidden="1"/>
    </xf>
    <xf numFmtId="168" fontId="5" fillId="3" borderId="65" xfId="0" applyNumberFormat="1" applyFont="1" applyFill="1" applyBorder="1" applyAlignment="1" applyProtection="1">
      <alignment horizontal="center" vertical="center"/>
      <protection hidden="1"/>
    </xf>
    <xf numFmtId="168" fontId="11" fillId="7" borderId="6" xfId="0" applyNumberFormat="1" applyFont="1" applyFill="1" applyBorder="1" applyAlignment="1" applyProtection="1">
      <alignment horizontal="center" vertical="center"/>
      <protection hidden="1"/>
    </xf>
    <xf numFmtId="168" fontId="11" fillId="7" borderId="7" xfId="0" applyNumberFormat="1" applyFont="1" applyFill="1" applyBorder="1" applyAlignment="1" applyProtection="1">
      <alignment vertical="center"/>
      <protection hidden="1"/>
    </xf>
    <xf numFmtId="168" fontId="11" fillId="7" borderId="7" xfId="0" applyNumberFormat="1" applyFont="1" applyFill="1" applyBorder="1" applyAlignment="1" applyProtection="1">
      <alignment horizontal="center" vertical="center"/>
      <protection hidden="1"/>
    </xf>
    <xf numFmtId="168" fontId="11" fillId="7" borderId="8" xfId="0" applyNumberFormat="1" applyFont="1" applyFill="1" applyBorder="1" applyAlignment="1" applyProtection="1">
      <alignment horizontal="center" vertical="center"/>
      <protection hidden="1"/>
    </xf>
    <xf numFmtId="168" fontId="4" fillId="3" borderId="0" xfId="0" applyNumberFormat="1" applyFont="1" applyFill="1" applyAlignment="1" applyProtection="1">
      <alignment vertical="center"/>
      <protection hidden="1"/>
    </xf>
    <xf numFmtId="168" fontId="4" fillId="3" borderId="0" xfId="0" applyNumberFormat="1" applyFont="1" applyFill="1" applyAlignment="1" applyProtection="1">
      <alignment horizontal="center" vertical="center"/>
      <protection hidden="1"/>
    </xf>
    <xf numFmtId="165" fontId="13" fillId="8" borderId="10" xfId="0" applyFont="1" applyFill="1" applyBorder="1" applyAlignment="1" applyProtection="1">
      <alignment vertical="center"/>
      <protection hidden="1"/>
    </xf>
    <xf numFmtId="165" fontId="13" fillId="8" borderId="13" xfId="0" applyFont="1" applyFill="1" applyBorder="1" applyAlignment="1" applyProtection="1">
      <alignment vertical="center"/>
      <protection hidden="1"/>
    </xf>
    <xf numFmtId="168" fontId="13" fillId="8" borderId="13" xfId="0" applyNumberFormat="1" applyFont="1" applyFill="1" applyBorder="1" applyAlignment="1" applyProtection="1">
      <alignment vertical="center"/>
      <protection hidden="1"/>
    </xf>
    <xf numFmtId="9" fontId="13" fillId="8" borderId="19" xfId="10" applyFont="1" applyFill="1" applyBorder="1" applyAlignment="1" applyProtection="1">
      <alignment horizontal="center" vertical="center"/>
      <protection hidden="1"/>
    </xf>
    <xf numFmtId="9" fontId="13" fillId="8" borderId="13" xfId="10" applyFont="1" applyFill="1" applyBorder="1" applyAlignment="1" applyProtection="1">
      <alignment horizontal="center" vertical="center"/>
      <protection hidden="1"/>
    </xf>
    <xf numFmtId="168" fontId="13" fillId="8" borderId="14" xfId="0" applyNumberFormat="1" applyFont="1" applyFill="1" applyBorder="1" applyAlignment="1" applyProtection="1">
      <alignment vertical="center"/>
      <protection hidden="1"/>
    </xf>
    <xf numFmtId="165" fontId="13" fillId="8" borderId="3" xfId="0" applyFont="1" applyFill="1" applyBorder="1" applyAlignment="1" applyProtection="1">
      <alignment vertical="center"/>
      <protection hidden="1"/>
    </xf>
    <xf numFmtId="165" fontId="13" fillId="8" borderId="42" xfId="0" applyFont="1" applyFill="1" applyBorder="1" applyAlignment="1" applyProtection="1">
      <alignment vertical="center"/>
      <protection hidden="1"/>
    </xf>
    <xf numFmtId="168" fontId="13" fillId="8" borderId="42" xfId="0" applyNumberFormat="1" applyFont="1" applyFill="1" applyBorder="1" applyAlignment="1" applyProtection="1">
      <alignment vertical="center"/>
      <protection hidden="1"/>
    </xf>
    <xf numFmtId="9" fontId="13" fillId="8" borderId="9" xfId="10" applyFont="1" applyFill="1" applyBorder="1" applyAlignment="1" applyProtection="1">
      <alignment horizontal="center" vertical="center"/>
      <protection hidden="1"/>
    </xf>
    <xf numFmtId="9" fontId="13" fillId="8" borderId="42" xfId="10" applyFont="1" applyFill="1" applyBorder="1" applyAlignment="1" applyProtection="1">
      <alignment horizontal="center" vertical="center"/>
      <protection hidden="1"/>
    </xf>
    <xf numFmtId="168" fontId="13" fillId="8" borderId="5" xfId="0" applyNumberFormat="1" applyFont="1" applyFill="1" applyBorder="1" applyAlignment="1" applyProtection="1">
      <alignment vertical="center"/>
      <protection hidden="1"/>
    </xf>
    <xf numFmtId="168" fontId="20" fillId="3" borderId="0" xfId="0" applyNumberFormat="1" applyFont="1" applyFill="1" applyAlignment="1" applyProtection="1">
      <alignment vertical="center"/>
      <protection hidden="1"/>
    </xf>
    <xf numFmtId="3" fontId="5" fillId="3" borderId="2" xfId="6" applyFont="1" applyFill="1" applyBorder="1" applyAlignment="1" applyProtection="1">
      <alignment horizontal="left" vertical="center" wrapText="1"/>
      <protection hidden="1"/>
    </xf>
    <xf numFmtId="3" fontId="5" fillId="3" borderId="2" xfId="6" applyFont="1" applyFill="1" applyBorder="1" applyAlignment="1" applyProtection="1">
      <alignment vertical="center"/>
      <protection hidden="1"/>
    </xf>
    <xf numFmtId="3" fontId="34" fillId="4" borderId="6" xfId="6" applyFont="1" applyFill="1" applyBorder="1" applyAlignment="1" applyProtection="1">
      <alignment horizontal="right" vertical="center"/>
      <protection hidden="1"/>
    </xf>
    <xf numFmtId="3" fontId="34" fillId="4" borderId="22" xfId="6" applyFont="1" applyFill="1" applyBorder="1" applyAlignment="1" applyProtection="1">
      <alignment horizontal="left" vertical="center"/>
      <protection hidden="1"/>
    </xf>
    <xf numFmtId="165" fontId="11" fillId="3" borderId="18" xfId="0" applyFont="1" applyFill="1" applyBorder="1" applyAlignment="1" applyProtection="1">
      <alignment vertical="center" wrapText="1"/>
      <protection hidden="1"/>
    </xf>
    <xf numFmtId="165" fontId="11" fillId="3" borderId="19" xfId="0" applyFont="1" applyFill="1" applyBorder="1" applyAlignment="1" applyProtection="1">
      <alignment horizontal="center" vertical="center" wrapText="1"/>
      <protection hidden="1"/>
    </xf>
    <xf numFmtId="165" fontId="11" fillId="3" borderId="32" xfId="0" applyFont="1" applyFill="1" applyBorder="1" applyAlignment="1" applyProtection="1">
      <alignment horizontal="center" vertical="center" wrapText="1"/>
      <protection hidden="1"/>
    </xf>
    <xf numFmtId="165" fontId="41" fillId="4" borderId="57" xfId="0" applyFont="1" applyFill="1" applyBorder="1" applyAlignment="1" applyProtection="1">
      <alignment vertical="center"/>
      <protection hidden="1"/>
    </xf>
    <xf numFmtId="165" fontId="41" fillId="4" borderId="58" xfId="0" applyFont="1" applyFill="1" applyBorder="1" applyAlignment="1" applyProtection="1">
      <alignment vertical="center"/>
      <protection hidden="1"/>
    </xf>
    <xf numFmtId="165" fontId="41" fillId="4" borderId="66" xfId="0" applyFont="1" applyFill="1" applyBorder="1" applyAlignment="1" applyProtection="1">
      <alignment vertical="center"/>
      <protection hidden="1"/>
    </xf>
    <xf numFmtId="3" fontId="35" fillId="4" borderId="44" xfId="9" applyFont="1" applyFill="1" applyBorder="1" applyAlignment="1" applyProtection="1">
      <alignment horizontal="center" vertical="center" wrapText="1"/>
      <protection hidden="1"/>
    </xf>
    <xf numFmtId="166" fontId="35" fillId="4" borderId="71" xfId="9" applyNumberFormat="1" applyFont="1" applyFill="1" applyBorder="1" applyAlignment="1" applyProtection="1">
      <alignment horizontal="center" vertical="center" wrapText="1"/>
      <protection hidden="1"/>
    </xf>
    <xf numFmtId="4" fontId="5" fillId="3" borderId="0" xfId="9" applyNumberFormat="1" applyFont="1" applyFill="1" applyBorder="1" applyAlignment="1" applyProtection="1">
      <alignment horizontal="center" vertical="center" wrapText="1"/>
      <protection hidden="1"/>
    </xf>
    <xf numFmtId="3" fontId="5" fillId="3" borderId="69" xfId="9" applyFont="1" applyFill="1" applyBorder="1" applyAlignment="1" applyProtection="1">
      <alignment vertical="center" wrapText="1"/>
      <protection hidden="1"/>
    </xf>
    <xf numFmtId="4" fontId="5" fillId="3" borderId="69" xfId="9" applyNumberFormat="1" applyFont="1" applyFill="1" applyBorder="1" applyAlignment="1" applyProtection="1">
      <alignment horizontal="center" vertical="center" wrapText="1"/>
      <protection hidden="1"/>
    </xf>
    <xf numFmtId="9" fontId="5" fillId="3" borderId="69" xfId="9" applyNumberFormat="1" applyFont="1" applyFill="1" applyBorder="1" applyAlignment="1" applyProtection="1">
      <alignment horizontal="center" vertical="center" wrapText="1"/>
      <protection hidden="1"/>
    </xf>
    <xf numFmtId="3" fontId="34" fillId="4" borderId="60" xfId="9" applyFont="1" applyFill="1" applyBorder="1" applyAlignment="1" applyProtection="1">
      <alignment horizontal="center" vertical="center" wrapText="1"/>
      <protection hidden="1"/>
    </xf>
    <xf numFmtId="10" fontId="5" fillId="9" borderId="0" xfId="0" applyNumberFormat="1" applyFont="1" applyFill="1" applyBorder="1" applyAlignment="1" applyProtection="1">
      <alignment horizontal="center" vertical="center"/>
      <protection locked="0"/>
    </xf>
    <xf numFmtId="165" fontId="34" fillId="3" borderId="0" xfId="0" applyFont="1" applyFill="1" applyBorder="1" applyAlignment="1" applyProtection="1">
      <alignment horizontal="center" vertical="center"/>
      <protection hidden="1"/>
    </xf>
    <xf numFmtId="3" fontId="4" fillId="3" borderId="0" xfId="5" applyNumberFormat="1" applyFont="1" applyFill="1" applyAlignment="1" applyProtection="1">
      <alignment vertical="center"/>
      <protection hidden="1"/>
    </xf>
    <xf numFmtId="0" fontId="5" fillId="3" borderId="0" xfId="5" applyFont="1" applyFill="1" applyBorder="1" applyAlignment="1" applyProtection="1">
      <alignment horizontal="left" vertical="center"/>
      <protection hidden="1"/>
    </xf>
    <xf numFmtId="10" fontId="5" fillId="3" borderId="0" xfId="10" applyNumberFormat="1" applyFont="1" applyFill="1" applyBorder="1" applyAlignment="1" applyProtection="1">
      <alignment horizontal="center" vertical="center"/>
      <protection hidden="1"/>
    </xf>
    <xf numFmtId="0" fontId="5" fillId="3" borderId="0" xfId="5" applyFont="1" applyFill="1" applyAlignment="1" applyProtection="1">
      <alignment vertical="center"/>
      <protection hidden="1"/>
    </xf>
    <xf numFmtId="2" fontId="5" fillId="3" borderId="0" xfId="5" applyNumberFormat="1" applyFont="1" applyFill="1" applyBorder="1" applyAlignment="1" applyProtection="1">
      <alignment horizontal="center" vertical="center"/>
      <protection hidden="1"/>
    </xf>
    <xf numFmtId="0" fontId="5" fillId="3" borderId="0" xfId="5" applyFont="1" applyFill="1" applyBorder="1" applyAlignment="1" applyProtection="1">
      <alignment vertical="center"/>
      <protection hidden="1"/>
    </xf>
    <xf numFmtId="10" fontId="5" fillId="3" borderId="0" xfId="10" applyNumberFormat="1" applyFont="1" applyFill="1" applyAlignment="1" applyProtection="1">
      <alignment vertical="center"/>
      <protection hidden="1"/>
    </xf>
    <xf numFmtId="10" fontId="5" fillId="3" borderId="0" xfId="5" applyNumberFormat="1" applyFont="1" applyFill="1" applyAlignment="1" applyProtection="1">
      <alignment vertical="center"/>
      <protection hidden="1"/>
    </xf>
    <xf numFmtId="177" fontId="5" fillId="3" borderId="0" xfId="5" applyNumberFormat="1" applyFont="1" applyFill="1" applyBorder="1" applyAlignment="1" applyProtection="1">
      <alignment horizontal="center" vertical="center"/>
      <protection hidden="1"/>
    </xf>
    <xf numFmtId="2" fontId="5" fillId="3" borderId="0" xfId="10" applyNumberFormat="1" applyFont="1" applyFill="1" applyBorder="1" applyAlignment="1" applyProtection="1">
      <alignment horizontal="center" vertical="center"/>
      <protection hidden="1"/>
    </xf>
    <xf numFmtId="3" fontId="11" fillId="6" borderId="4" xfId="5" applyNumberFormat="1" applyFont="1" applyFill="1" applyBorder="1" applyAlignment="1" applyProtection="1">
      <alignment vertical="center"/>
      <protection hidden="1"/>
    </xf>
    <xf numFmtId="3" fontId="11" fillId="6" borderId="55" xfId="5" applyNumberFormat="1" applyFont="1" applyFill="1" applyBorder="1" applyAlignment="1" applyProtection="1">
      <alignment vertical="center"/>
      <protection hidden="1"/>
    </xf>
    <xf numFmtId="168" fontId="38" fillId="4" borderId="7" xfId="0" applyNumberFormat="1" applyFont="1" applyFill="1" applyBorder="1" applyAlignment="1" applyProtection="1">
      <alignment vertical="center"/>
      <protection hidden="1"/>
    </xf>
    <xf numFmtId="168" fontId="34" fillId="4" borderId="7" xfId="0" applyNumberFormat="1" applyFont="1" applyFill="1" applyBorder="1" applyAlignment="1" applyProtection="1">
      <alignment horizontal="center" vertical="center"/>
      <protection hidden="1"/>
    </xf>
    <xf numFmtId="168" fontId="20" fillId="4" borderId="7" xfId="0" applyNumberFormat="1" applyFont="1" applyFill="1" applyBorder="1" applyAlignment="1" applyProtection="1">
      <alignment vertical="center"/>
      <protection hidden="1"/>
    </xf>
    <xf numFmtId="0" fontId="5" fillId="3" borderId="55" xfId="5" applyFont="1" applyFill="1" applyBorder="1" applyAlignment="1" applyProtection="1">
      <alignment horizontal="left" vertical="center"/>
      <protection hidden="1"/>
    </xf>
    <xf numFmtId="165" fontId="34" fillId="3" borderId="72" xfId="0" applyFont="1" applyFill="1" applyBorder="1" applyAlignment="1" applyProtection="1">
      <alignment horizontal="center" vertical="center"/>
      <protection hidden="1"/>
    </xf>
    <xf numFmtId="165" fontId="34" fillId="3" borderId="72" xfId="0" applyFont="1" applyFill="1" applyBorder="1" applyAlignment="1" applyProtection="1">
      <alignment vertical="center"/>
      <protection hidden="1"/>
    </xf>
    <xf numFmtId="168" fontId="34" fillId="3" borderId="72" xfId="0" applyNumberFormat="1" applyFont="1" applyFill="1" applyBorder="1" applyAlignment="1" applyProtection="1">
      <alignment vertical="center"/>
      <protection hidden="1"/>
    </xf>
    <xf numFmtId="165" fontId="7" fillId="3" borderId="23" xfId="0" applyFont="1" applyFill="1" applyBorder="1" applyAlignment="1" applyProtection="1">
      <alignment horizontal="center" vertical="center" wrapText="1"/>
      <protection hidden="1"/>
    </xf>
    <xf numFmtId="165" fontId="7" fillId="3" borderId="25" xfId="0" applyFont="1" applyFill="1" applyBorder="1" applyAlignment="1" applyProtection="1">
      <alignment horizontal="center" vertical="center"/>
      <protection hidden="1"/>
    </xf>
    <xf numFmtId="165" fontId="6" fillId="3" borderId="23" xfId="0" applyFont="1" applyFill="1" applyBorder="1" applyAlignment="1" applyProtection="1">
      <alignment vertical="center"/>
      <protection hidden="1"/>
    </xf>
    <xf numFmtId="165" fontId="6" fillId="3" borderId="25" xfId="0" applyFont="1" applyFill="1" applyBorder="1" applyAlignment="1" applyProtection="1">
      <alignment horizontal="center" vertical="center"/>
      <protection hidden="1"/>
    </xf>
    <xf numFmtId="165" fontId="6" fillId="3" borderId="29" xfId="0" applyFont="1" applyFill="1" applyBorder="1" applyAlignment="1" applyProtection="1">
      <alignment vertical="center"/>
      <protection hidden="1"/>
    </xf>
    <xf numFmtId="165" fontId="6" fillId="3" borderId="31" xfId="0" applyFont="1" applyFill="1" applyBorder="1" applyAlignment="1" applyProtection="1">
      <alignment horizontal="center" vertical="center"/>
      <protection hidden="1"/>
    </xf>
    <xf numFmtId="165" fontId="6" fillId="3" borderId="31" xfId="0" applyFont="1" applyFill="1" applyBorder="1" applyAlignment="1" applyProtection="1">
      <alignment vertical="center"/>
      <protection hidden="1"/>
    </xf>
    <xf numFmtId="165" fontId="7" fillId="3" borderId="22" xfId="0" applyFont="1" applyFill="1" applyBorder="1" applyAlignment="1" applyProtection="1">
      <alignment vertical="center"/>
      <protection hidden="1"/>
    </xf>
    <xf numFmtId="169" fontId="34" fillId="4" borderId="21" xfId="0" applyNumberFormat="1" applyFont="1" applyFill="1" applyBorder="1" applyAlignment="1" applyProtection="1">
      <alignment horizontal="center" vertical="center"/>
      <protection hidden="1"/>
    </xf>
    <xf numFmtId="165" fontId="5" fillId="3" borderId="63" xfId="0" applyFont="1" applyFill="1" applyBorder="1" applyAlignment="1" applyProtection="1">
      <alignment vertical="center" wrapText="1"/>
      <protection hidden="1"/>
    </xf>
    <xf numFmtId="165" fontId="4" fillId="3" borderId="0" xfId="0" applyFont="1" applyFill="1" applyBorder="1" applyProtection="1">
      <protection hidden="1"/>
    </xf>
    <xf numFmtId="3" fontId="11" fillId="6" borderId="55" xfId="5" applyNumberFormat="1" applyFont="1" applyFill="1" applyBorder="1" applyAlignment="1" applyProtection="1">
      <alignment horizontal="center" vertical="center"/>
      <protection hidden="1"/>
    </xf>
    <xf numFmtId="172" fontId="5" fillId="3" borderId="0" xfId="5" applyNumberFormat="1" applyFont="1" applyFill="1" applyBorder="1" applyAlignment="1" applyProtection="1">
      <alignment horizontal="center" vertical="center"/>
      <protection hidden="1"/>
    </xf>
    <xf numFmtId="165" fontId="11" fillId="7" borderId="4" xfId="0" applyFont="1" applyFill="1" applyBorder="1" applyAlignment="1" applyProtection="1">
      <alignment vertical="center"/>
      <protection hidden="1"/>
    </xf>
    <xf numFmtId="175" fontId="4" fillId="3" borderId="15" xfId="10" applyNumberFormat="1" applyFont="1" applyFill="1" applyBorder="1" applyAlignment="1" applyProtection="1">
      <alignment horizontal="centerContinuous" vertical="center"/>
      <protection hidden="1"/>
    </xf>
    <xf numFmtId="175" fontId="34" fillId="4" borderId="60" xfId="10" applyNumberFormat="1" applyFont="1" applyFill="1" applyBorder="1" applyAlignment="1" applyProtection="1">
      <alignment horizontal="centerContinuous" vertical="center"/>
      <protection hidden="1"/>
    </xf>
    <xf numFmtId="175" fontId="5" fillId="3" borderId="58" xfId="10" applyNumberFormat="1" applyFont="1" applyFill="1" applyBorder="1" applyAlignment="1" applyProtection="1">
      <alignment horizontal="centerContinuous" vertical="center"/>
      <protection hidden="1"/>
    </xf>
    <xf numFmtId="175" fontId="34" fillId="4" borderId="66" xfId="10" applyNumberFormat="1" applyFont="1" applyFill="1" applyBorder="1" applyAlignment="1" applyProtection="1">
      <alignment horizontal="centerContinuous" vertical="center"/>
      <protection hidden="1"/>
    </xf>
    <xf numFmtId="3" fontId="5" fillId="3" borderId="51" xfId="6" applyFont="1" applyFill="1" applyBorder="1" applyAlignment="1" applyProtection="1">
      <alignment horizontal="left" vertical="center"/>
      <protection hidden="1"/>
    </xf>
    <xf numFmtId="3" fontId="5" fillId="3" borderId="54" xfId="6" applyFont="1" applyFill="1" applyBorder="1" applyAlignment="1" applyProtection="1">
      <alignment horizontal="left" vertical="center"/>
      <protection hidden="1"/>
    </xf>
    <xf numFmtId="3" fontId="5" fillId="9" borderId="43" xfId="9" applyFont="1" applyFill="1" applyBorder="1" applyAlignment="1" applyProtection="1">
      <alignment horizontal="center" vertical="center" wrapText="1"/>
      <protection locked="0"/>
    </xf>
    <xf numFmtId="3" fontId="5" fillId="9" borderId="2" xfId="9" applyFont="1" applyFill="1" applyBorder="1" applyAlignment="1" applyProtection="1">
      <alignment horizontal="center" vertical="center" wrapText="1"/>
      <protection locked="0"/>
    </xf>
    <xf numFmtId="10" fontId="5" fillId="9" borderId="0" xfId="10" applyNumberFormat="1" applyFont="1" applyFill="1" applyBorder="1" applyAlignment="1" applyProtection="1">
      <alignment horizontal="center" vertical="center"/>
      <protection locked="0"/>
    </xf>
    <xf numFmtId="3" fontId="34" fillId="3" borderId="0" xfId="7" applyFont="1" applyFill="1" applyBorder="1" applyAlignment="1" applyProtection="1">
      <alignment horizontal="center" vertical="center"/>
      <protection hidden="1"/>
    </xf>
    <xf numFmtId="172" fontId="34" fillId="3" borderId="0" xfId="7" applyNumberFormat="1" applyFont="1" applyFill="1" applyBorder="1" applyAlignment="1" applyProtection="1">
      <alignment horizontal="center" vertical="center"/>
      <protection hidden="1"/>
    </xf>
    <xf numFmtId="3" fontId="11" fillId="3" borderId="0" xfId="7" applyFont="1" applyFill="1" applyBorder="1" applyAlignment="1" applyProtection="1">
      <alignment horizontal="center" vertical="center"/>
      <protection hidden="1"/>
    </xf>
    <xf numFmtId="10" fontId="11" fillId="3" borderId="0" xfId="7" applyNumberFormat="1" applyFont="1" applyFill="1" applyBorder="1" applyAlignment="1" applyProtection="1">
      <alignment vertical="center"/>
      <protection hidden="1"/>
    </xf>
    <xf numFmtId="3" fontId="11" fillId="3" borderId="0" xfId="7" applyFont="1" applyFill="1" applyBorder="1" applyAlignment="1" applyProtection="1">
      <alignment vertical="center"/>
      <protection hidden="1"/>
    </xf>
    <xf numFmtId="165" fontId="13" fillId="3" borderId="46" xfId="0" applyFont="1" applyFill="1" applyBorder="1" applyAlignment="1" applyProtection="1">
      <alignment horizontal="left" vertical="center"/>
      <protection hidden="1"/>
    </xf>
    <xf numFmtId="165" fontId="13" fillId="3" borderId="72" xfId="0" applyFont="1" applyFill="1" applyBorder="1" applyAlignment="1" applyProtection="1">
      <alignment horizontal="left" vertical="center"/>
      <protection hidden="1"/>
    </xf>
    <xf numFmtId="165" fontId="5" fillId="3" borderId="72" xfId="0" applyFont="1" applyFill="1" applyBorder="1" applyAlignment="1" applyProtection="1">
      <alignment horizontal="left" vertical="center"/>
      <protection hidden="1"/>
    </xf>
    <xf numFmtId="165" fontId="11" fillId="6" borderId="2" xfId="0" applyFont="1" applyFill="1" applyBorder="1" applyAlignment="1" applyProtection="1">
      <alignment horizontal="left" vertical="center"/>
      <protection hidden="1"/>
    </xf>
    <xf numFmtId="165" fontId="11" fillId="6" borderId="0" xfId="0" applyFont="1" applyFill="1" applyBorder="1" applyAlignment="1" applyProtection="1">
      <alignment horizontal="left" vertical="center"/>
      <protection hidden="1"/>
    </xf>
    <xf numFmtId="165" fontId="11" fillId="6" borderId="48" xfId="0" applyFont="1" applyFill="1" applyBorder="1" applyAlignment="1" applyProtection="1">
      <alignment vertical="center"/>
      <protection hidden="1"/>
    </xf>
    <xf numFmtId="170" fontId="11" fillId="6" borderId="15" xfId="10" applyNumberFormat="1" applyFont="1" applyFill="1" applyBorder="1" applyAlignment="1" applyProtection="1">
      <alignment horizontal="center" vertical="center"/>
      <protection hidden="1"/>
    </xf>
    <xf numFmtId="165" fontId="4" fillId="3" borderId="0" xfId="0" applyFont="1" applyFill="1" applyBorder="1" applyAlignment="1" applyProtection="1">
      <alignment horizontal="left" vertical="center"/>
      <protection hidden="1"/>
    </xf>
    <xf numFmtId="170" fontId="4" fillId="3" borderId="15" xfId="10" applyNumberFormat="1" applyFont="1" applyFill="1" applyBorder="1" applyAlignment="1" applyProtection="1">
      <alignment horizontal="center" vertical="center"/>
      <protection hidden="1"/>
    </xf>
    <xf numFmtId="165" fontId="13" fillId="3" borderId="0" xfId="0" applyFont="1" applyFill="1" applyBorder="1" applyAlignment="1" applyProtection="1">
      <alignment horizontal="left" vertical="center"/>
      <protection hidden="1"/>
    </xf>
    <xf numFmtId="165" fontId="5" fillId="5" borderId="48" xfId="0" applyFont="1" applyFill="1" applyBorder="1" applyAlignment="1" applyProtection="1">
      <alignment vertical="center"/>
      <protection locked="0"/>
    </xf>
    <xf numFmtId="165" fontId="4" fillId="5" borderId="48" xfId="0" applyFont="1" applyFill="1" applyBorder="1" applyAlignment="1" applyProtection="1">
      <alignment vertical="center"/>
      <protection locked="0"/>
    </xf>
    <xf numFmtId="165" fontId="5" fillId="5" borderId="48" xfId="0" applyFont="1" applyFill="1" applyBorder="1" applyAlignment="1" applyProtection="1">
      <alignment horizontal="right" vertical="center"/>
      <protection locked="0"/>
    </xf>
    <xf numFmtId="165" fontId="30" fillId="3" borderId="0" xfId="0" applyFont="1" applyFill="1" applyBorder="1" applyAlignment="1" applyProtection="1">
      <alignment horizontal="left" vertical="center"/>
      <protection hidden="1"/>
    </xf>
    <xf numFmtId="165" fontId="5" fillId="3" borderId="43" xfId="0" applyFont="1" applyFill="1" applyBorder="1" applyAlignment="1" applyProtection="1">
      <alignment horizontal="left" vertical="center"/>
      <protection hidden="1"/>
    </xf>
    <xf numFmtId="165" fontId="5" fillId="3" borderId="69" xfId="0" applyFont="1" applyFill="1" applyBorder="1" applyAlignment="1" applyProtection="1">
      <alignment horizontal="left" vertical="center"/>
      <protection hidden="1"/>
    </xf>
    <xf numFmtId="165" fontId="13" fillId="3" borderId="69" xfId="0" applyFont="1" applyFill="1" applyBorder="1" applyAlignment="1" applyProtection="1">
      <alignment horizontal="left" vertical="center"/>
      <protection hidden="1"/>
    </xf>
    <xf numFmtId="165" fontId="5" fillId="3" borderId="73" xfId="0" applyFont="1" applyFill="1" applyBorder="1" applyAlignment="1" applyProtection="1">
      <alignment vertical="center"/>
      <protection hidden="1"/>
    </xf>
    <xf numFmtId="170" fontId="5" fillId="3" borderId="70" xfId="10" applyNumberFormat="1" applyFont="1" applyFill="1" applyBorder="1" applyAlignment="1" applyProtection="1">
      <alignment horizontal="center" vertical="center"/>
      <protection hidden="1"/>
    </xf>
    <xf numFmtId="165" fontId="5" fillId="5" borderId="74" xfId="0" applyFont="1" applyFill="1" applyBorder="1" applyAlignment="1" applyProtection="1">
      <alignment vertical="center"/>
      <protection locked="0"/>
    </xf>
    <xf numFmtId="170" fontId="5" fillId="3" borderId="75" xfId="10" applyNumberFormat="1" applyFont="1" applyFill="1" applyBorder="1" applyAlignment="1" applyProtection="1">
      <alignment horizontal="center" vertical="center"/>
      <protection hidden="1"/>
    </xf>
    <xf numFmtId="165" fontId="30" fillId="5" borderId="48" xfId="0" applyFont="1" applyFill="1" applyBorder="1" applyAlignment="1" applyProtection="1">
      <alignment vertical="center"/>
      <protection locked="0"/>
    </xf>
    <xf numFmtId="170" fontId="30" fillId="3" borderId="1" xfId="10" applyNumberFormat="1" applyFont="1" applyFill="1" applyBorder="1" applyAlignment="1" applyProtection="1">
      <alignment horizontal="center" vertical="center"/>
      <protection hidden="1"/>
    </xf>
    <xf numFmtId="165" fontId="30" fillId="5" borderId="48" xfId="0" applyFont="1" applyFill="1" applyBorder="1" applyAlignment="1" applyProtection="1">
      <alignment horizontal="right" vertical="center"/>
      <protection locked="0"/>
    </xf>
    <xf numFmtId="3" fontId="20" fillId="4" borderId="76" xfId="8" applyFont="1" applyFill="1" applyBorder="1" applyAlignment="1" applyProtection="1">
      <alignment horizontal="center" vertical="center" wrapText="1"/>
      <protection hidden="1"/>
    </xf>
    <xf numFmtId="178" fontId="13" fillId="3" borderId="53" xfId="7" applyNumberFormat="1" applyFont="1" applyFill="1" applyBorder="1" applyAlignment="1" applyProtection="1">
      <alignment horizontal="center" vertical="center" wrapText="1"/>
      <protection hidden="1"/>
    </xf>
    <xf numFmtId="178" fontId="5" fillId="3" borderId="48" xfId="7" applyNumberFormat="1" applyFont="1" applyFill="1" applyBorder="1" applyAlignment="1" applyProtection="1">
      <alignment horizontal="center" vertical="center"/>
      <protection hidden="1"/>
    </xf>
    <xf numFmtId="178" fontId="13" fillId="3" borderId="48" xfId="7" applyNumberFormat="1" applyFont="1" applyFill="1" applyBorder="1" applyAlignment="1" applyProtection="1">
      <alignment horizontal="center" vertical="center" wrapText="1"/>
      <protection hidden="1"/>
    </xf>
    <xf numFmtId="178" fontId="13" fillId="3" borderId="52" xfId="7" applyNumberFormat="1" applyFont="1" applyFill="1" applyBorder="1" applyAlignment="1" applyProtection="1">
      <alignment horizontal="center" vertical="center" wrapText="1"/>
      <protection hidden="1"/>
    </xf>
    <xf numFmtId="178" fontId="13" fillId="3" borderId="62" xfId="7" applyNumberFormat="1" applyFont="1" applyFill="1" applyBorder="1" applyAlignment="1" applyProtection="1">
      <alignment horizontal="center" vertical="center" wrapText="1"/>
      <protection hidden="1"/>
    </xf>
    <xf numFmtId="178" fontId="13" fillId="3" borderId="52" xfId="7" applyNumberFormat="1" applyFont="1" applyFill="1" applyBorder="1" applyAlignment="1" applyProtection="1">
      <alignment vertical="center" wrapText="1"/>
      <protection hidden="1"/>
    </xf>
    <xf numFmtId="178" fontId="13" fillId="3" borderId="64" xfId="7" applyNumberFormat="1" applyFont="1" applyFill="1" applyBorder="1" applyAlignment="1" applyProtection="1">
      <alignment horizontal="center" vertical="center" wrapText="1"/>
      <protection hidden="1"/>
    </xf>
    <xf numFmtId="178" fontId="5" fillId="3" borderId="15" xfId="7" applyNumberFormat="1" applyFont="1" applyFill="1" applyBorder="1" applyAlignment="1" applyProtection="1">
      <alignment horizontal="center" vertical="center"/>
      <protection hidden="1"/>
    </xf>
    <xf numFmtId="178" fontId="5" fillId="5" borderId="48" xfId="7" applyNumberFormat="1" applyFont="1" applyFill="1" applyBorder="1" applyAlignment="1" applyProtection="1">
      <alignment horizontal="center" vertical="center"/>
      <protection locked="0"/>
    </xf>
    <xf numFmtId="178" fontId="5" fillId="3" borderId="1" xfId="7" applyNumberFormat="1" applyFont="1" applyFill="1" applyBorder="1" applyAlignment="1" applyProtection="1">
      <alignment horizontal="center" vertical="center"/>
      <protection hidden="1"/>
    </xf>
    <xf numFmtId="178" fontId="23" fillId="3" borderId="0" xfId="7" applyNumberFormat="1" applyFont="1" applyFill="1" applyBorder="1" applyAlignment="1" applyProtection="1">
      <alignment horizontal="center" vertical="center" wrapText="1"/>
      <protection hidden="1"/>
    </xf>
    <xf numFmtId="178" fontId="13" fillId="3" borderId="15" xfId="7" applyNumberFormat="1" applyFont="1" applyFill="1" applyBorder="1" applyAlignment="1" applyProtection="1">
      <alignment horizontal="center" vertical="center" wrapText="1"/>
      <protection hidden="1"/>
    </xf>
    <xf numFmtId="178" fontId="13" fillId="3" borderId="1" xfId="7" applyNumberFormat="1" applyFont="1" applyFill="1" applyBorder="1" applyAlignment="1" applyProtection="1">
      <alignment horizontal="center" vertical="center" wrapText="1"/>
      <protection hidden="1"/>
    </xf>
    <xf numFmtId="178" fontId="5" fillId="3" borderId="0" xfId="7" applyNumberFormat="1" applyFont="1" applyFill="1" applyBorder="1" applyAlignment="1" applyProtection="1">
      <alignment horizontal="center" vertical="center"/>
      <protection hidden="1"/>
    </xf>
    <xf numFmtId="178" fontId="13" fillId="3" borderId="0" xfId="7" applyNumberFormat="1" applyFont="1" applyFill="1" applyBorder="1" applyAlignment="1" applyProtection="1">
      <alignment horizontal="center" vertical="center" wrapText="1"/>
      <protection hidden="1"/>
    </xf>
    <xf numFmtId="178" fontId="23" fillId="3" borderId="15" xfId="7" applyNumberFormat="1" applyFont="1" applyFill="1" applyBorder="1" applyAlignment="1" applyProtection="1">
      <alignment horizontal="center" vertical="center" wrapText="1"/>
      <protection hidden="1"/>
    </xf>
    <xf numFmtId="178" fontId="23" fillId="3" borderId="1" xfId="7" applyNumberFormat="1" applyFont="1" applyFill="1" applyBorder="1" applyAlignment="1" applyProtection="1">
      <alignment horizontal="center" vertical="center" wrapText="1"/>
      <protection hidden="1"/>
    </xf>
    <xf numFmtId="178" fontId="34" fillId="4" borderId="58" xfId="7" applyNumberFormat="1" applyFont="1" applyFill="1" applyBorder="1" applyAlignment="1" applyProtection="1">
      <alignment horizontal="center" vertical="center"/>
      <protection hidden="1"/>
    </xf>
    <xf numFmtId="178" fontId="34" fillId="4" borderId="60" xfId="7" applyNumberFormat="1" applyFont="1" applyFill="1" applyBorder="1" applyAlignment="1" applyProtection="1">
      <alignment horizontal="center" vertical="center"/>
      <protection hidden="1"/>
    </xf>
    <xf numFmtId="178" fontId="34" fillId="4" borderId="59" xfId="7" applyNumberFormat="1" applyFont="1" applyFill="1" applyBorder="1" applyAlignment="1" applyProtection="1">
      <alignment horizontal="center" vertical="center"/>
      <protection hidden="1"/>
    </xf>
    <xf numFmtId="178" fontId="34" fillId="4" borderId="58" xfId="7" applyNumberFormat="1" applyFont="1" applyFill="1" applyBorder="1" applyAlignment="1" applyProtection="1">
      <alignment vertical="center"/>
      <protection hidden="1"/>
    </xf>
    <xf numFmtId="178" fontId="34" fillId="4" borderId="66" xfId="7" applyNumberFormat="1" applyFont="1" applyFill="1" applyBorder="1" applyAlignment="1" applyProtection="1">
      <alignment horizontal="center" vertical="center"/>
      <protection hidden="1"/>
    </xf>
    <xf numFmtId="165" fontId="5" fillId="3" borderId="47" xfId="0" applyFont="1" applyFill="1" applyBorder="1" applyAlignment="1" applyProtection="1">
      <alignment vertical="center"/>
      <protection hidden="1"/>
    </xf>
    <xf numFmtId="10" fontId="5" fillId="5" borderId="72" xfId="10" applyNumberFormat="1" applyFont="1" applyFill="1" applyBorder="1" applyAlignment="1" applyProtection="1">
      <alignment horizontal="center" vertical="center" wrapText="1"/>
      <protection locked="0"/>
    </xf>
    <xf numFmtId="10" fontId="5" fillId="5" borderId="47" xfId="10" applyNumberFormat="1" applyFont="1" applyFill="1" applyBorder="1" applyAlignment="1" applyProtection="1">
      <alignment horizontal="center" vertical="center" wrapText="1"/>
      <protection locked="0"/>
    </xf>
    <xf numFmtId="10" fontId="5" fillId="5" borderId="61" xfId="10" applyNumberFormat="1" applyFont="1" applyFill="1" applyBorder="1" applyAlignment="1" applyProtection="1">
      <alignment horizontal="center" vertical="center" wrapText="1"/>
      <protection locked="0"/>
    </xf>
    <xf numFmtId="10" fontId="5" fillId="5" borderId="75" xfId="10" applyNumberFormat="1" applyFont="1" applyFill="1" applyBorder="1" applyAlignment="1" applyProtection="1">
      <alignment horizontal="center" vertical="center" wrapText="1"/>
      <protection locked="0"/>
    </xf>
    <xf numFmtId="165" fontId="5" fillId="3" borderId="48" xfId="0" applyFont="1" applyFill="1" applyBorder="1" applyAlignment="1" applyProtection="1">
      <alignment horizontal="right" vertical="center"/>
      <protection hidden="1"/>
    </xf>
    <xf numFmtId="3" fontId="34" fillId="4" borderId="59" xfId="6" applyFont="1" applyFill="1" applyBorder="1" applyAlignment="1" applyProtection="1">
      <alignment horizontal="center" vertical="center"/>
      <protection hidden="1"/>
    </xf>
    <xf numFmtId="3" fontId="34" fillId="4" borderId="11" xfId="6" applyFont="1" applyFill="1" applyBorder="1" applyAlignment="1" applyProtection="1">
      <alignment horizontal="center" vertical="center"/>
      <protection hidden="1"/>
    </xf>
    <xf numFmtId="168" fontId="11" fillId="8" borderId="6" xfId="0" applyNumberFormat="1" applyFont="1" applyFill="1" applyBorder="1" applyAlignment="1" applyProtection="1">
      <alignment horizontal="center" vertical="center"/>
      <protection hidden="1"/>
    </xf>
    <xf numFmtId="168" fontId="11" fillId="8" borderId="7" xfId="0" applyNumberFormat="1" applyFont="1" applyFill="1" applyBorder="1" applyAlignment="1" applyProtection="1">
      <alignment vertical="center"/>
      <protection hidden="1"/>
    </xf>
    <xf numFmtId="168" fontId="11" fillId="8" borderId="7" xfId="0" applyNumberFormat="1" applyFont="1" applyFill="1" applyBorder="1" applyAlignment="1" applyProtection="1">
      <alignment horizontal="center" vertical="center"/>
      <protection hidden="1"/>
    </xf>
    <xf numFmtId="168" fontId="11" fillId="8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0" xfId="0" applyFont="1" applyFill="1" applyProtection="1">
      <protection hidden="1"/>
    </xf>
    <xf numFmtId="165" fontId="6" fillId="3" borderId="0" xfId="0" applyFont="1" applyFill="1" applyProtection="1">
      <protection hidden="1"/>
    </xf>
    <xf numFmtId="165" fontId="6" fillId="3" borderId="48" xfId="0" applyFont="1" applyFill="1" applyBorder="1" applyProtection="1">
      <protection hidden="1"/>
    </xf>
    <xf numFmtId="165" fontId="6" fillId="3" borderId="15" xfId="0" applyFont="1" applyFill="1" applyBorder="1" applyProtection="1">
      <protection hidden="1"/>
    </xf>
    <xf numFmtId="165" fontId="5" fillId="5" borderId="48" xfId="0" applyFont="1" applyFill="1" applyBorder="1" applyProtection="1">
      <protection locked="0"/>
    </xf>
    <xf numFmtId="165" fontId="42" fillId="10" borderId="0" xfId="0" applyFont="1" applyFill="1" applyAlignment="1" applyProtection="1">
      <alignment vertical="center"/>
      <protection hidden="1"/>
    </xf>
    <xf numFmtId="3" fontId="41" fillId="4" borderId="57" xfId="8" applyFont="1" applyFill="1" applyBorder="1" applyAlignment="1" applyProtection="1">
      <alignment vertical="center"/>
      <protection hidden="1"/>
    </xf>
    <xf numFmtId="3" fontId="41" fillId="4" borderId="58" xfId="8" applyFont="1" applyFill="1" applyBorder="1" applyAlignment="1" applyProtection="1">
      <alignment vertical="center"/>
      <protection hidden="1"/>
    </xf>
    <xf numFmtId="3" fontId="41" fillId="4" borderId="66" xfId="8" applyFont="1" applyFill="1" applyBorder="1" applyAlignment="1" applyProtection="1">
      <alignment vertical="center"/>
      <protection hidden="1"/>
    </xf>
    <xf numFmtId="179" fontId="5" fillId="3" borderId="47" xfId="12" applyNumberFormat="1" applyFont="1" applyFill="1" applyBorder="1" applyAlignment="1" applyProtection="1">
      <alignment horizontal="center" vertical="center" wrapText="1"/>
      <protection hidden="1"/>
    </xf>
    <xf numFmtId="3" fontId="20" fillId="4" borderId="67" xfId="9" applyFont="1" applyFill="1" applyBorder="1" applyAlignment="1" applyProtection="1">
      <alignment horizontal="center" vertical="center" wrapText="1"/>
      <protection hidden="1"/>
    </xf>
    <xf numFmtId="3" fontId="13" fillId="3" borderId="51" xfId="9" applyFont="1" applyFill="1" applyBorder="1" applyAlignment="1" applyProtection="1">
      <alignment vertical="center" wrapText="1"/>
      <protection hidden="1"/>
    </xf>
    <xf numFmtId="3" fontId="13" fillId="3" borderId="77" xfId="9" applyFont="1" applyFill="1" applyBorder="1" applyAlignment="1" applyProtection="1">
      <alignment vertical="center" wrapText="1"/>
      <protection hidden="1"/>
    </xf>
    <xf numFmtId="3" fontId="13" fillId="3" borderId="29" xfId="9" applyFont="1" applyFill="1" applyBorder="1" applyAlignment="1" applyProtection="1">
      <alignment horizontal="center" vertical="center" wrapText="1"/>
      <protection hidden="1"/>
    </xf>
    <xf numFmtId="3" fontId="13" fillId="3" borderId="31" xfId="9" applyFont="1" applyFill="1" applyBorder="1" applyAlignment="1" applyProtection="1">
      <alignment horizontal="center" vertical="center" wrapText="1"/>
      <protection hidden="1"/>
    </xf>
    <xf numFmtId="3" fontId="13" fillId="3" borderId="30" xfId="9" applyFont="1" applyFill="1" applyBorder="1" applyAlignment="1" applyProtection="1">
      <alignment horizontal="center" vertical="center" wrapText="1"/>
      <protection hidden="1"/>
    </xf>
    <xf numFmtId="3" fontId="16" fillId="3" borderId="0" xfId="9" applyFont="1" applyFill="1" applyAlignment="1" applyProtection="1">
      <alignment horizontal="center" vertical="center" wrapText="1"/>
      <protection hidden="1"/>
    </xf>
    <xf numFmtId="3" fontId="13" fillId="6" borderId="3" xfId="6" applyFont="1" applyFill="1" applyBorder="1" applyAlignment="1" applyProtection="1">
      <alignment horizontal="left" vertical="center"/>
      <protection hidden="1"/>
    </xf>
    <xf numFmtId="3" fontId="13" fillId="6" borderId="54" xfId="6" applyFont="1" applyFill="1" applyBorder="1" applyAlignment="1" applyProtection="1">
      <alignment horizontal="left" vertical="center"/>
      <protection hidden="1"/>
    </xf>
    <xf numFmtId="3" fontId="13" fillId="6" borderId="54" xfId="6" applyFont="1" applyFill="1" applyBorder="1" applyAlignment="1" applyProtection="1">
      <alignment vertical="center"/>
      <protection hidden="1"/>
    </xf>
    <xf numFmtId="3" fontId="13" fillId="6" borderId="3" xfId="6" applyFont="1" applyFill="1" applyBorder="1" applyAlignment="1" applyProtection="1">
      <alignment vertical="center"/>
      <protection hidden="1"/>
    </xf>
    <xf numFmtId="3" fontId="13" fillId="6" borderId="10" xfId="6" applyFont="1" applyFill="1" applyBorder="1" applyAlignment="1" applyProtection="1">
      <alignment horizontal="left" vertical="center"/>
      <protection hidden="1"/>
    </xf>
    <xf numFmtId="165" fontId="43" fillId="3" borderId="0" xfId="0" applyFont="1" applyFill="1" applyBorder="1" applyAlignment="1" applyProtection="1">
      <alignment vertical="center"/>
      <protection hidden="1"/>
    </xf>
    <xf numFmtId="172" fontId="34" fillId="4" borderId="58" xfId="7" applyNumberFormat="1" applyFont="1" applyFill="1" applyBorder="1" applyAlignment="1" applyProtection="1">
      <alignment horizontal="center" vertical="center"/>
      <protection hidden="1"/>
    </xf>
    <xf numFmtId="3" fontId="11" fillId="4" borderId="57" xfId="7" applyFont="1" applyFill="1" applyBorder="1" applyAlignment="1" applyProtection="1">
      <alignment horizontal="center" vertical="center"/>
      <protection hidden="1"/>
    </xf>
    <xf numFmtId="3" fontId="11" fillId="4" borderId="66" xfId="7" applyFont="1" applyFill="1" applyBorder="1" applyAlignment="1" applyProtection="1">
      <alignment horizontal="center" vertical="center"/>
      <protection hidden="1"/>
    </xf>
    <xf numFmtId="3" fontId="20" fillId="4" borderId="32" xfId="8" applyFont="1" applyFill="1" applyBorder="1" applyAlignment="1" applyProtection="1">
      <alignment horizontal="center" vertical="center" wrapText="1"/>
      <protection hidden="1"/>
    </xf>
    <xf numFmtId="179" fontId="5" fillId="3" borderId="40" xfId="3" applyNumberFormat="1" applyFont="1" applyFill="1" applyBorder="1" applyAlignment="1" applyProtection="1">
      <alignment horizontal="center" vertical="center" wrapText="1"/>
      <protection hidden="1"/>
    </xf>
    <xf numFmtId="179" fontId="5" fillId="9" borderId="40" xfId="3" applyNumberFormat="1" applyFont="1" applyFill="1" applyBorder="1" applyAlignment="1" applyProtection="1">
      <alignment horizontal="center" vertical="center" wrapText="1"/>
      <protection locked="0"/>
    </xf>
    <xf numFmtId="179" fontId="5" fillId="9" borderId="49" xfId="3" applyNumberFormat="1" applyFont="1" applyFill="1" applyBorder="1" applyAlignment="1" applyProtection="1">
      <alignment horizontal="center" vertical="center" wrapText="1"/>
      <protection locked="0"/>
    </xf>
    <xf numFmtId="3" fontId="5" fillId="3" borderId="78" xfId="8" applyFont="1" applyFill="1" applyBorder="1" applyAlignment="1" applyProtection="1">
      <alignment vertical="center" wrapText="1"/>
      <protection hidden="1"/>
    </xf>
    <xf numFmtId="3" fontId="5" fillId="3" borderId="79" xfId="8" applyFont="1" applyFill="1" applyBorder="1" applyAlignment="1" applyProtection="1">
      <alignment vertical="center" wrapText="1"/>
      <protection hidden="1"/>
    </xf>
    <xf numFmtId="3" fontId="5" fillId="3" borderId="80" xfId="8" applyFont="1" applyFill="1" applyBorder="1" applyAlignment="1" applyProtection="1">
      <alignment vertical="center" wrapText="1"/>
      <protection hidden="1"/>
    </xf>
    <xf numFmtId="179" fontId="5" fillId="3" borderId="78" xfId="3" applyNumberFormat="1" applyFont="1" applyFill="1" applyBorder="1" applyAlignment="1" applyProtection="1">
      <alignment horizontal="center" vertical="center" wrapText="1"/>
      <protection hidden="1"/>
    </xf>
    <xf numFmtId="179" fontId="5" fillId="3" borderId="80" xfId="12" applyNumberFormat="1" applyFont="1" applyFill="1" applyBorder="1" applyAlignment="1" applyProtection="1">
      <alignment horizontal="center" vertical="center" wrapText="1"/>
      <protection hidden="1"/>
    </xf>
    <xf numFmtId="178" fontId="5" fillId="3" borderId="81" xfId="7" applyNumberFormat="1" applyFont="1" applyFill="1" applyBorder="1" applyAlignment="1" applyProtection="1">
      <alignment horizontal="center" vertical="center"/>
      <protection hidden="1"/>
    </xf>
    <xf numFmtId="172" fontId="5" fillId="5" borderId="0" xfId="8" applyNumberFormat="1" applyFont="1" applyFill="1" applyBorder="1" applyAlignment="1" applyProtection="1">
      <alignment horizontal="center" vertical="center"/>
      <protection locked="0"/>
    </xf>
    <xf numFmtId="172" fontId="5" fillId="5" borderId="40" xfId="3" applyNumberFormat="1" applyFont="1" applyFill="1" applyBorder="1" applyAlignment="1" applyProtection="1">
      <alignment horizontal="center" vertical="center"/>
      <protection locked="0"/>
    </xf>
    <xf numFmtId="172" fontId="5" fillId="5" borderId="15" xfId="3" applyNumberFormat="1" applyFont="1" applyFill="1" applyBorder="1" applyAlignment="1" applyProtection="1">
      <alignment horizontal="center" vertical="center"/>
      <protection locked="0"/>
    </xf>
    <xf numFmtId="172" fontId="5" fillId="5" borderId="1" xfId="3" applyNumberFormat="1" applyFont="1" applyFill="1" applyBorder="1" applyAlignment="1" applyProtection="1">
      <alignment horizontal="center" vertical="center"/>
      <protection locked="0"/>
    </xf>
    <xf numFmtId="172" fontId="5" fillId="3" borderId="78" xfId="8" applyNumberFormat="1" applyFont="1" applyFill="1" applyBorder="1" applyAlignment="1" applyProtection="1">
      <alignment horizontal="center" vertical="center" wrapText="1"/>
      <protection hidden="1"/>
    </xf>
    <xf numFmtId="3" fontId="5" fillId="3" borderId="79" xfId="8" applyFont="1" applyFill="1" applyBorder="1" applyAlignment="1" applyProtection="1">
      <alignment horizontal="center" vertical="center" wrapText="1"/>
      <protection hidden="1"/>
    </xf>
    <xf numFmtId="3" fontId="5" fillId="3" borderId="80" xfId="8" applyFont="1" applyFill="1" applyBorder="1" applyAlignment="1" applyProtection="1">
      <alignment horizontal="center" vertical="center" wrapText="1"/>
      <protection hidden="1"/>
    </xf>
    <xf numFmtId="165" fontId="7" fillId="3" borderId="42" xfId="0" applyFont="1" applyFill="1" applyBorder="1" applyAlignment="1" applyProtection="1">
      <alignment horizontal="center" vertical="center" wrapText="1"/>
      <protection hidden="1"/>
    </xf>
    <xf numFmtId="165" fontId="6" fillId="3" borderId="42" xfId="0" applyFont="1" applyFill="1" applyBorder="1" applyAlignment="1" applyProtection="1">
      <alignment vertical="center"/>
      <protection hidden="1"/>
    </xf>
    <xf numFmtId="165" fontId="6" fillId="3" borderId="62" xfId="0" applyFont="1" applyFill="1" applyBorder="1" applyAlignment="1" applyProtection="1">
      <alignment vertical="center"/>
      <protection hidden="1"/>
    </xf>
    <xf numFmtId="165" fontId="7" fillId="3" borderId="60" xfId="0" applyFont="1" applyFill="1" applyBorder="1" applyAlignment="1" applyProtection="1">
      <alignment vertical="center"/>
      <protection hidden="1"/>
    </xf>
    <xf numFmtId="165" fontId="34" fillId="4" borderId="19" xfId="0" applyFont="1" applyFill="1" applyBorder="1" applyAlignment="1" applyProtection="1">
      <alignment horizontal="center" vertical="center" wrapText="1"/>
      <protection hidden="1"/>
    </xf>
    <xf numFmtId="165" fontId="11" fillId="3" borderId="82" xfId="0" applyFont="1" applyFill="1" applyBorder="1" applyAlignment="1" applyProtection="1">
      <alignment horizontal="right" vertical="center"/>
      <protection hidden="1"/>
    </xf>
    <xf numFmtId="165" fontId="5" fillId="3" borderId="15" xfId="0" applyFont="1" applyFill="1" applyBorder="1" applyAlignment="1" applyProtection="1">
      <alignment vertical="center"/>
    </xf>
    <xf numFmtId="165" fontId="4" fillId="3" borderId="15" xfId="0" applyFont="1" applyFill="1" applyBorder="1" applyAlignment="1" applyProtection="1">
      <alignment vertical="center"/>
    </xf>
    <xf numFmtId="179" fontId="5" fillId="9" borderId="47" xfId="3" applyNumberFormat="1" applyFont="1" applyFill="1" applyBorder="1" applyAlignment="1" applyProtection="1">
      <alignment horizontal="center" vertical="center" wrapText="1"/>
      <protection locked="0"/>
    </xf>
    <xf numFmtId="179" fontId="5" fillId="9" borderId="50" xfId="3" applyNumberFormat="1" applyFont="1" applyFill="1" applyBorder="1" applyAlignment="1" applyProtection="1">
      <alignment horizontal="center" vertical="center" wrapText="1"/>
      <protection locked="0"/>
    </xf>
    <xf numFmtId="165" fontId="5" fillId="3" borderId="79" xfId="0" applyFont="1" applyFill="1" applyBorder="1" applyAlignment="1" applyProtection="1">
      <alignment horizontal="center" vertical="center"/>
      <protection hidden="1"/>
    </xf>
    <xf numFmtId="170" fontId="32" fillId="6" borderId="63" xfId="10" applyNumberFormat="1" applyFont="1" applyFill="1" applyBorder="1" applyAlignment="1" applyProtection="1">
      <alignment horizontal="center" vertical="center"/>
      <protection hidden="1"/>
    </xf>
    <xf numFmtId="165" fontId="29" fillId="3" borderId="0" xfId="0" applyFont="1" applyFill="1" applyBorder="1" applyAlignment="1" applyProtection="1">
      <alignment vertical="center"/>
      <protection hidden="1"/>
    </xf>
    <xf numFmtId="3" fontId="12" fillId="4" borderId="12" xfId="7" applyFont="1" applyFill="1" applyBorder="1" applyAlignment="1" applyProtection="1">
      <alignment vertical="center"/>
      <protection hidden="1"/>
    </xf>
    <xf numFmtId="3" fontId="12" fillId="4" borderId="14" xfId="7" applyFont="1" applyFill="1" applyBorder="1" applyAlignment="1" applyProtection="1">
      <alignment vertical="center"/>
      <protection hidden="1"/>
    </xf>
    <xf numFmtId="180" fontId="5" fillId="9" borderId="0" xfId="7" applyNumberFormat="1" applyFont="1" applyFill="1" applyBorder="1" applyAlignment="1" applyProtection="1">
      <alignment horizontal="center" vertical="center"/>
      <protection locked="0"/>
    </xf>
    <xf numFmtId="10" fontId="5" fillId="3" borderId="0" xfId="0" applyNumberFormat="1" applyFont="1" applyFill="1" applyBorder="1" applyAlignment="1" applyProtection="1">
      <alignment horizontal="center" vertical="center"/>
      <protection locked="0"/>
    </xf>
    <xf numFmtId="165" fontId="45" fillId="3" borderId="9" xfId="0" applyFont="1" applyFill="1" applyBorder="1" applyProtection="1">
      <protection hidden="1"/>
    </xf>
    <xf numFmtId="165" fontId="4" fillId="11" borderId="0" xfId="0" applyFont="1" applyFill="1" applyProtection="1">
      <protection hidden="1"/>
    </xf>
    <xf numFmtId="165" fontId="6" fillId="5" borderId="41" xfId="0" applyFont="1" applyFill="1" applyBorder="1" applyProtection="1">
      <protection hidden="1"/>
    </xf>
    <xf numFmtId="165" fontId="6" fillId="9" borderId="41" xfId="0" applyFont="1" applyFill="1" applyBorder="1" applyProtection="1">
      <protection hidden="1"/>
    </xf>
    <xf numFmtId="165" fontId="6" fillId="3" borderId="53" xfId="0" applyFont="1" applyFill="1" applyBorder="1" applyProtection="1">
      <protection hidden="1"/>
    </xf>
    <xf numFmtId="165" fontId="6" fillId="4" borderId="48" xfId="0" applyFont="1" applyFill="1" applyBorder="1" applyProtection="1">
      <protection hidden="1"/>
    </xf>
    <xf numFmtId="165" fontId="6" fillId="8" borderId="48" xfId="0" applyFont="1" applyFill="1" applyBorder="1" applyProtection="1">
      <protection hidden="1"/>
    </xf>
    <xf numFmtId="165" fontId="6" fillId="7" borderId="48" xfId="0" applyFont="1" applyFill="1" applyBorder="1" applyProtection="1">
      <protection hidden="1"/>
    </xf>
    <xf numFmtId="165" fontId="6" fillId="10" borderId="56" xfId="0" applyFont="1" applyFill="1" applyBorder="1" applyProtection="1">
      <protection hidden="1"/>
    </xf>
    <xf numFmtId="10" fontId="5" fillId="9" borderId="83" xfId="0" applyNumberFormat="1" applyFont="1" applyFill="1" applyBorder="1" applyAlignment="1" applyProtection="1">
      <alignment horizontal="center" vertical="center"/>
      <protection locked="0"/>
    </xf>
    <xf numFmtId="10" fontId="5" fillId="9" borderId="84" xfId="0" applyNumberFormat="1" applyFont="1" applyFill="1" applyBorder="1" applyAlignment="1" applyProtection="1">
      <alignment horizontal="center" vertical="center"/>
      <protection locked="0"/>
    </xf>
    <xf numFmtId="9" fontId="5" fillId="9" borderId="84" xfId="10" applyFont="1" applyFill="1" applyBorder="1" applyAlignment="1" applyProtection="1">
      <alignment horizontal="center" vertical="center"/>
      <protection locked="0"/>
    </xf>
    <xf numFmtId="165" fontId="13" fillId="0" borderId="0" xfId="0" applyFont="1" applyFill="1" applyBorder="1" applyAlignment="1" applyProtection="1">
      <alignment vertical="center"/>
      <protection hidden="1"/>
    </xf>
    <xf numFmtId="165" fontId="5" fillId="0" borderId="0" xfId="0" applyFont="1"/>
    <xf numFmtId="10" fontId="5" fillId="12" borderId="0" xfId="0" applyNumberFormat="1" applyFont="1" applyFill="1" applyBorder="1" applyAlignment="1" applyProtection="1">
      <alignment horizontal="center" vertical="center"/>
      <protection locked="0"/>
    </xf>
    <xf numFmtId="165" fontId="5" fillId="12" borderId="0" xfId="0" applyFont="1" applyFill="1" applyBorder="1" applyAlignment="1" applyProtection="1">
      <alignment vertical="center"/>
      <protection hidden="1"/>
    </xf>
    <xf numFmtId="165" fontId="6" fillId="12" borderId="0" xfId="0" applyFont="1" applyFill="1" applyBorder="1" applyAlignment="1" applyProtection="1">
      <alignment vertical="center"/>
      <protection hidden="1"/>
    </xf>
    <xf numFmtId="165" fontId="5" fillId="12" borderId="84" xfId="0" applyFont="1" applyFill="1" applyBorder="1" applyAlignment="1" applyProtection="1">
      <alignment vertical="center"/>
      <protection hidden="1"/>
    </xf>
    <xf numFmtId="165" fontId="6" fillId="12" borderId="84" xfId="0" applyFont="1" applyFill="1" applyBorder="1" applyAlignment="1" applyProtection="1">
      <alignment vertical="center"/>
      <protection hidden="1"/>
    </xf>
    <xf numFmtId="3" fontId="52" fillId="13" borderId="0" xfId="8" applyFont="1" applyFill="1" applyBorder="1" applyAlignment="1" applyProtection="1">
      <alignment vertical="center"/>
      <protection hidden="1"/>
    </xf>
    <xf numFmtId="3" fontId="52" fillId="14" borderId="0" xfId="8" applyFont="1" applyFill="1" applyBorder="1" applyAlignment="1" applyProtection="1">
      <alignment vertical="center"/>
      <protection hidden="1"/>
    </xf>
    <xf numFmtId="165" fontId="32" fillId="13" borderId="4" xfId="0" applyFont="1" applyFill="1" applyBorder="1" applyAlignment="1">
      <alignment horizontal="center"/>
    </xf>
    <xf numFmtId="165" fontId="29" fillId="0" borderId="0" xfId="0" applyFont="1"/>
    <xf numFmtId="165" fontId="53" fillId="0" borderId="0" xfId="0" applyFont="1"/>
    <xf numFmtId="165" fontId="32" fillId="12" borderId="83" xfId="0" applyFont="1" applyFill="1" applyBorder="1" applyAlignment="1">
      <alignment wrapText="1"/>
    </xf>
    <xf numFmtId="165" fontId="29" fillId="12" borderId="84" xfId="0" applyFont="1" applyFill="1" applyBorder="1" applyAlignment="1">
      <alignment wrapText="1"/>
    </xf>
    <xf numFmtId="165" fontId="32" fillId="12" borderId="84" xfId="0" applyFont="1" applyFill="1" applyBorder="1" applyAlignment="1">
      <alignment wrapText="1"/>
    </xf>
    <xf numFmtId="165" fontId="44" fillId="13" borderId="85" xfId="0" applyFont="1" applyFill="1" applyBorder="1" applyAlignment="1">
      <alignment horizontal="center" wrapText="1"/>
    </xf>
    <xf numFmtId="165" fontId="44" fillId="13" borderId="86" xfId="0" applyFont="1" applyFill="1" applyBorder="1" applyAlignment="1">
      <alignment horizontal="center" wrapText="1"/>
    </xf>
    <xf numFmtId="165" fontId="7" fillId="0" borderId="0" xfId="0" applyFont="1"/>
    <xf numFmtId="3" fontId="38" fillId="4" borderId="12" xfId="7" applyFont="1" applyFill="1" applyBorder="1" applyAlignment="1" applyProtection="1">
      <alignment vertical="center"/>
      <protection hidden="1"/>
    </xf>
    <xf numFmtId="3" fontId="13" fillId="3" borderId="53" xfId="7" applyFont="1" applyFill="1" applyBorder="1" applyAlignment="1" applyProtection="1">
      <alignment horizontal="center" vertical="center" wrapText="1"/>
      <protection hidden="1"/>
    </xf>
    <xf numFmtId="3" fontId="13" fillId="3" borderId="52" xfId="7" applyFont="1" applyFill="1" applyBorder="1" applyAlignment="1" applyProtection="1">
      <alignment horizontal="center" vertical="center" wrapText="1"/>
      <protection hidden="1"/>
    </xf>
    <xf numFmtId="3" fontId="13" fillId="3" borderId="62" xfId="7" applyFont="1" applyFill="1" applyBorder="1" applyAlignment="1" applyProtection="1">
      <alignment horizontal="center" vertical="center" wrapText="1"/>
      <protection hidden="1"/>
    </xf>
    <xf numFmtId="3" fontId="13" fillId="3" borderId="64" xfId="7" applyFont="1" applyFill="1" applyBorder="1" applyAlignment="1" applyProtection="1">
      <alignment horizontal="center" vertical="center" wrapText="1"/>
      <protection hidden="1"/>
    </xf>
    <xf numFmtId="49" fontId="8" fillId="0" borderId="0" xfId="0" applyNumberFormat="1" applyFont="1"/>
    <xf numFmtId="3" fontId="44" fillId="13" borderId="0" xfId="8" applyFont="1" applyFill="1" applyBorder="1" applyAlignment="1" applyProtection="1">
      <alignment vertical="center"/>
      <protection hidden="1"/>
    </xf>
    <xf numFmtId="165" fontId="34" fillId="3" borderId="0" xfId="0" applyFont="1" applyFill="1" applyBorder="1" applyAlignment="1" applyProtection="1">
      <alignment horizontal="center" vertical="center" wrapText="1"/>
      <protection hidden="1"/>
    </xf>
    <xf numFmtId="165" fontId="34" fillId="3" borderId="0" xfId="0" applyFont="1" applyFill="1" applyBorder="1" applyAlignment="1" applyProtection="1">
      <alignment horizontal="right" vertical="center"/>
      <protection hidden="1"/>
    </xf>
    <xf numFmtId="165" fontId="34" fillId="3" borderId="0" xfId="0" applyFont="1" applyFill="1" applyBorder="1" applyAlignment="1" applyProtection="1">
      <alignment vertical="center"/>
      <protection hidden="1"/>
    </xf>
    <xf numFmtId="165" fontId="12" fillId="3" borderId="0" xfId="0" applyFont="1" applyFill="1" applyBorder="1" applyAlignment="1" applyProtection="1">
      <alignment horizontal="left" vertical="center"/>
      <protection hidden="1"/>
    </xf>
    <xf numFmtId="165" fontId="6" fillId="3" borderId="2" xfId="0" applyFont="1" applyFill="1" applyBorder="1" applyAlignment="1" applyProtection="1">
      <alignment horizontal="left" vertical="center"/>
      <protection hidden="1"/>
    </xf>
    <xf numFmtId="165" fontId="6" fillId="3" borderId="0" xfId="0" applyFont="1" applyFill="1" applyBorder="1" applyAlignment="1" applyProtection="1">
      <alignment horizontal="left" vertical="center"/>
      <protection hidden="1"/>
    </xf>
    <xf numFmtId="165" fontId="6" fillId="3" borderId="2" xfId="0" applyFont="1" applyFill="1" applyBorder="1" applyAlignment="1" applyProtection="1">
      <alignment vertical="center" wrapText="1"/>
      <protection hidden="1"/>
    </xf>
    <xf numFmtId="165" fontId="12" fillId="3" borderId="12" xfId="0" applyFont="1" applyFill="1" applyBorder="1" applyAlignment="1" applyProtection="1">
      <alignment horizontal="left" vertical="center"/>
      <protection hidden="1"/>
    </xf>
    <xf numFmtId="165" fontId="12" fillId="3" borderId="4" xfId="0" applyFont="1" applyFill="1" applyBorder="1" applyAlignment="1" applyProtection="1">
      <alignment horizontal="left" vertical="center"/>
      <protection hidden="1"/>
    </xf>
    <xf numFmtId="165" fontId="4" fillId="3" borderId="42" xfId="0" applyFont="1" applyFill="1" applyBorder="1" applyAlignment="1" applyProtection="1">
      <alignment horizontal="center" vertical="center"/>
      <protection hidden="1"/>
    </xf>
    <xf numFmtId="165" fontId="12" fillId="4" borderId="43" xfId="0" applyFont="1" applyFill="1" applyBorder="1" applyAlignment="1" applyProtection="1">
      <alignment vertical="center"/>
      <protection hidden="1"/>
    </xf>
    <xf numFmtId="165" fontId="12" fillId="4" borderId="69" xfId="0" applyFont="1" applyFill="1" applyBorder="1" applyAlignment="1" applyProtection="1">
      <alignment vertical="center"/>
      <protection hidden="1"/>
    </xf>
    <xf numFmtId="165" fontId="12" fillId="4" borderId="58" xfId="0" applyFont="1" applyFill="1" applyBorder="1" applyAlignment="1" applyProtection="1">
      <alignment vertical="center"/>
      <protection hidden="1"/>
    </xf>
    <xf numFmtId="165" fontId="12" fillId="4" borderId="66" xfId="0" applyFont="1" applyFill="1" applyBorder="1" applyAlignment="1" applyProtection="1">
      <alignment vertical="center"/>
      <protection hidden="1"/>
    </xf>
    <xf numFmtId="165" fontId="4" fillId="3" borderId="5" xfId="0" applyFont="1" applyFill="1" applyBorder="1" applyAlignment="1" applyProtection="1">
      <alignment horizontal="center" vertical="center"/>
      <protection hidden="1"/>
    </xf>
    <xf numFmtId="165" fontId="6" fillId="3" borderId="51" xfId="0" applyFont="1" applyFill="1" applyBorder="1" applyAlignment="1" applyProtection="1">
      <alignment vertical="center" wrapText="1"/>
      <protection hidden="1"/>
    </xf>
    <xf numFmtId="165" fontId="6" fillId="3" borderId="46" xfId="0" applyFont="1" applyFill="1" applyBorder="1" applyAlignment="1" applyProtection="1">
      <alignment vertical="center" wrapText="1"/>
      <protection hidden="1"/>
    </xf>
    <xf numFmtId="165" fontId="6" fillId="3" borderId="72" xfId="0" applyFont="1" applyFill="1" applyBorder="1" applyAlignment="1" applyProtection="1">
      <alignment horizontal="left" vertical="center"/>
      <protection hidden="1"/>
    </xf>
    <xf numFmtId="165" fontId="5" fillId="3" borderId="79" xfId="0" applyFont="1" applyFill="1" applyBorder="1" applyAlignment="1" applyProtection="1">
      <alignment vertical="center"/>
      <protection hidden="1"/>
    </xf>
    <xf numFmtId="165" fontId="5" fillId="3" borderId="0" xfId="0" applyFont="1" applyFill="1" applyBorder="1" applyAlignment="1" applyProtection="1">
      <alignment horizontal="center" vertical="center"/>
      <protection hidden="1"/>
    </xf>
    <xf numFmtId="165" fontId="5" fillId="3" borderId="82" xfId="0" applyFont="1" applyFill="1" applyBorder="1" applyAlignment="1" applyProtection="1">
      <alignment vertical="center"/>
      <protection hidden="1"/>
    </xf>
    <xf numFmtId="165" fontId="11" fillId="3" borderId="4" xfId="0" applyFont="1" applyFill="1" applyBorder="1" applyAlignment="1" applyProtection="1">
      <alignment horizontal="right" vertical="center"/>
      <protection hidden="1"/>
    </xf>
    <xf numFmtId="165" fontId="11" fillId="3" borderId="9" xfId="0" applyFont="1" applyFill="1" applyBorder="1" applyAlignment="1" applyProtection="1">
      <alignment horizontal="right" vertical="center"/>
      <protection hidden="1"/>
    </xf>
    <xf numFmtId="165" fontId="11" fillId="3" borderId="41" xfId="0" applyFont="1" applyFill="1" applyBorder="1" applyAlignment="1" applyProtection="1">
      <alignment vertical="center"/>
      <protection hidden="1"/>
    </xf>
    <xf numFmtId="165" fontId="11" fillId="3" borderId="4" xfId="0" applyFont="1" applyFill="1" applyBorder="1" applyAlignment="1" applyProtection="1">
      <alignment vertical="center"/>
      <protection hidden="1"/>
    </xf>
    <xf numFmtId="165" fontId="11" fillId="3" borderId="42" xfId="0" applyFont="1" applyFill="1" applyBorder="1" applyAlignment="1" applyProtection="1">
      <alignment vertical="center"/>
      <protection hidden="1"/>
    </xf>
    <xf numFmtId="165" fontId="11" fillId="3" borderId="5" xfId="0" applyFont="1" applyFill="1" applyBorder="1" applyAlignment="1" applyProtection="1">
      <alignment vertical="center"/>
      <protection hidden="1"/>
    </xf>
    <xf numFmtId="10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4" fillId="3" borderId="41" xfId="0" applyFont="1" applyFill="1" applyBorder="1" applyAlignment="1" applyProtection="1">
      <alignment horizontal="center" vertical="center" wrapText="1"/>
      <protection hidden="1"/>
    </xf>
    <xf numFmtId="180" fontId="5" fillId="9" borderId="0" xfId="7" applyNumberFormat="1" applyFont="1" applyFill="1" applyBorder="1" applyAlignment="1" applyProtection="1">
      <alignment horizontal="center" vertical="center"/>
      <protection hidden="1"/>
    </xf>
    <xf numFmtId="165" fontId="4" fillId="3" borderId="4" xfId="0" applyFont="1" applyFill="1" applyBorder="1" applyAlignment="1" applyProtection="1">
      <alignment horizontal="center" vertical="center"/>
      <protection hidden="1"/>
    </xf>
    <xf numFmtId="10" fontId="5" fillId="9" borderId="9" xfId="10" applyNumberFormat="1" applyFont="1" applyFill="1" applyBorder="1" applyAlignment="1" applyProtection="1">
      <alignment horizontal="center" vertical="center" wrapText="1"/>
      <protection locked="0"/>
    </xf>
    <xf numFmtId="10" fontId="5" fillId="9" borderId="25" xfId="10" applyNumberFormat="1" applyFont="1" applyFill="1" applyBorder="1" applyAlignment="1" applyProtection="1">
      <alignment horizontal="center" vertical="center" wrapText="1"/>
      <protection locked="0"/>
    </xf>
    <xf numFmtId="168" fontId="34" fillId="4" borderId="7" xfId="0" applyNumberFormat="1" applyFont="1" applyFill="1" applyBorder="1" applyAlignment="1" applyProtection="1">
      <alignment vertical="center"/>
      <protection hidden="1"/>
    </xf>
    <xf numFmtId="168" fontId="34" fillId="4" borderId="58" xfId="0" applyNumberFormat="1" applyFont="1" applyFill="1" applyBorder="1" applyAlignment="1" applyProtection="1">
      <alignment vertical="center"/>
      <protection hidden="1"/>
    </xf>
    <xf numFmtId="184" fontId="5" fillId="3" borderId="71" xfId="9" applyNumberFormat="1" applyFont="1" applyFill="1" applyBorder="1" applyAlignment="1" applyProtection="1">
      <alignment horizontal="center" vertical="center" wrapText="1"/>
      <protection hidden="1"/>
    </xf>
    <xf numFmtId="184" fontId="5" fillId="3" borderId="50" xfId="9" applyNumberFormat="1" applyFont="1" applyFill="1" applyBorder="1" applyAlignment="1" applyProtection="1">
      <alignment horizontal="center" vertical="center" wrapText="1"/>
      <protection hidden="1"/>
    </xf>
    <xf numFmtId="184" fontId="5" fillId="3" borderId="49" xfId="9" applyNumberFormat="1" applyFont="1" applyFill="1" applyBorder="1" applyAlignment="1" applyProtection="1">
      <alignment horizontal="center" vertical="center" wrapText="1"/>
      <protection hidden="1"/>
    </xf>
    <xf numFmtId="7" fontId="5" fillId="5" borderId="71" xfId="9" applyNumberFormat="1" applyFont="1" applyFill="1" applyBorder="1" applyAlignment="1" applyProtection="1">
      <alignment horizontal="center" vertical="center" wrapText="1"/>
      <protection locked="0"/>
    </xf>
    <xf numFmtId="7" fontId="5" fillId="3" borderId="50" xfId="9" applyNumberFormat="1" applyFont="1" applyFill="1" applyBorder="1" applyAlignment="1" applyProtection="1">
      <alignment horizontal="center" vertical="center" wrapText="1"/>
      <protection hidden="1"/>
    </xf>
    <xf numFmtId="7" fontId="5" fillId="5" borderId="49" xfId="9" applyNumberFormat="1" applyFont="1" applyFill="1" applyBorder="1" applyAlignment="1" applyProtection="1">
      <alignment horizontal="center" vertical="center" wrapText="1"/>
      <protection locked="0"/>
    </xf>
    <xf numFmtId="10" fontId="5" fillId="5" borderId="68" xfId="9" applyNumberFormat="1" applyFont="1" applyFill="1" applyBorder="1" applyAlignment="1" applyProtection="1">
      <alignment horizontal="center" vertical="center" wrapText="1"/>
      <protection locked="0"/>
    </xf>
    <xf numFmtId="10" fontId="5" fillId="3" borderId="39" xfId="9" applyNumberFormat="1" applyFont="1" applyFill="1" applyBorder="1" applyAlignment="1" applyProtection="1">
      <alignment vertical="center" wrapText="1"/>
      <protection hidden="1"/>
    </xf>
    <xf numFmtId="10" fontId="5" fillId="5" borderId="38" xfId="9" applyNumberFormat="1" applyFont="1" applyFill="1" applyBorder="1" applyAlignment="1" applyProtection="1">
      <alignment horizontal="center" vertical="center" wrapText="1"/>
      <protection locked="0"/>
    </xf>
    <xf numFmtId="10" fontId="5" fillId="9" borderId="68" xfId="9" applyNumberFormat="1" applyFont="1" applyFill="1" applyBorder="1" applyAlignment="1" applyProtection="1">
      <alignment horizontal="center" vertical="center" wrapText="1"/>
      <protection locked="0"/>
    </xf>
    <xf numFmtId="10" fontId="5" fillId="3" borderId="47" xfId="9" applyNumberFormat="1" applyFont="1" applyFill="1" applyBorder="1" applyAlignment="1" applyProtection="1">
      <alignment vertical="center" wrapText="1"/>
      <protection hidden="1"/>
    </xf>
    <xf numFmtId="172" fontId="5" fillId="3" borderId="0" xfId="6" applyNumberFormat="1" applyFont="1" applyFill="1" applyBorder="1" applyAlignment="1" applyProtection="1">
      <alignment vertical="center"/>
      <protection hidden="1"/>
    </xf>
    <xf numFmtId="172" fontId="11" fillId="3" borderId="7" xfId="6" applyNumberFormat="1" applyFont="1" applyFill="1" applyBorder="1" applyAlignment="1" applyProtection="1">
      <alignment vertical="center"/>
      <protection hidden="1"/>
    </xf>
    <xf numFmtId="172" fontId="4" fillId="3" borderId="13" xfId="6" applyNumberFormat="1" applyFont="1" applyFill="1" applyBorder="1" applyAlignment="1" applyProtection="1">
      <alignment horizontal="center" vertical="center" wrapText="1"/>
      <protection hidden="1"/>
    </xf>
    <xf numFmtId="166" fontId="11" fillId="3" borderId="17" xfId="1" applyNumberFormat="1" applyFont="1" applyFill="1" applyBorder="1" applyAlignment="1" applyProtection="1">
      <alignment horizontal="center" vertical="center"/>
      <protection hidden="1"/>
    </xf>
    <xf numFmtId="165" fontId="4" fillId="3" borderId="52" xfId="0" applyFont="1" applyFill="1" applyBorder="1" applyAlignment="1" applyProtection="1">
      <alignment horizontal="center" vertical="center"/>
      <protection hidden="1"/>
    </xf>
    <xf numFmtId="168" fontId="11" fillId="6" borderId="56" xfId="0" applyNumberFormat="1" applyFont="1" applyFill="1" applyBorder="1" applyAlignment="1" applyProtection="1">
      <alignment vertical="center"/>
      <protection hidden="1"/>
    </xf>
    <xf numFmtId="168" fontId="5" fillId="3" borderId="48" xfId="0" applyNumberFormat="1" applyFont="1" applyFill="1" applyBorder="1" applyAlignment="1" applyProtection="1">
      <alignment horizontal="right" vertical="center"/>
      <protection hidden="1"/>
    </xf>
    <xf numFmtId="168" fontId="13" fillId="3" borderId="87" xfId="0" applyNumberFormat="1" applyFont="1" applyFill="1" applyBorder="1" applyAlignment="1" applyProtection="1">
      <alignment horizontal="right" vertical="center"/>
      <protection hidden="1"/>
    </xf>
    <xf numFmtId="168" fontId="11" fillId="8" borderId="35" xfId="0" applyNumberFormat="1" applyFont="1" applyFill="1" applyBorder="1" applyAlignment="1" applyProtection="1">
      <alignment horizontal="right" vertical="center"/>
      <protection hidden="1"/>
    </xf>
    <xf numFmtId="168" fontId="11" fillId="8" borderId="36" xfId="0" applyNumberFormat="1" applyFont="1" applyFill="1" applyBorder="1" applyAlignment="1" applyProtection="1">
      <alignment horizontal="right" vertical="center"/>
      <protection hidden="1"/>
    </xf>
    <xf numFmtId="168" fontId="5" fillId="3" borderId="87" xfId="0" applyNumberFormat="1" applyFont="1" applyFill="1" applyBorder="1" applyAlignment="1" applyProtection="1">
      <alignment horizontal="right" vertical="center"/>
      <protection hidden="1"/>
    </xf>
    <xf numFmtId="168" fontId="5" fillId="3" borderId="0" xfId="0" applyNumberFormat="1" applyFont="1" applyFill="1" applyBorder="1" applyAlignment="1" applyProtection="1">
      <alignment horizontal="right" vertical="center"/>
      <protection hidden="1"/>
    </xf>
    <xf numFmtId="168" fontId="11" fillId="8" borderId="4" xfId="0" applyNumberFormat="1" applyFont="1" applyFill="1" applyBorder="1" applyAlignment="1" applyProtection="1">
      <alignment horizontal="right" vertical="center"/>
      <protection hidden="1"/>
    </xf>
    <xf numFmtId="168" fontId="5" fillId="3" borderId="2" xfId="0" applyNumberFormat="1" applyFont="1" applyFill="1" applyBorder="1" applyAlignment="1" applyProtection="1">
      <alignment horizontal="right" vertical="center"/>
      <protection hidden="1"/>
    </xf>
    <xf numFmtId="168" fontId="34" fillId="4" borderId="87" xfId="0" applyNumberFormat="1" applyFont="1" applyFill="1" applyBorder="1" applyAlignment="1" applyProtection="1">
      <alignment horizontal="right" vertical="center"/>
      <protection hidden="1"/>
    </xf>
    <xf numFmtId="168" fontId="34" fillId="4" borderId="0" xfId="0" applyNumberFormat="1" applyFont="1" applyFill="1" applyBorder="1" applyAlignment="1" applyProtection="1">
      <alignment horizontal="right" vertical="center"/>
      <protection hidden="1"/>
    </xf>
    <xf numFmtId="168" fontId="34" fillId="15" borderId="37" xfId="0" applyNumberFormat="1" applyFont="1" applyFill="1" applyBorder="1" applyAlignment="1" applyProtection="1">
      <alignment horizontal="right" vertical="center"/>
      <protection hidden="1"/>
    </xf>
    <xf numFmtId="168" fontId="34" fillId="4" borderId="77" xfId="0" applyNumberFormat="1" applyFont="1" applyFill="1" applyBorder="1" applyAlignment="1" applyProtection="1">
      <alignment horizontal="right" vertical="center"/>
      <protection hidden="1"/>
    </xf>
    <xf numFmtId="168" fontId="34" fillId="4" borderId="7" xfId="0" applyNumberFormat="1" applyFont="1" applyFill="1" applyBorder="1" applyAlignment="1" applyProtection="1">
      <alignment horizontal="right" vertical="center"/>
      <protection hidden="1"/>
    </xf>
    <xf numFmtId="168" fontId="34" fillId="4" borderId="45" xfId="0" applyNumberFormat="1" applyFont="1" applyFill="1" applyBorder="1" applyAlignment="1" applyProtection="1">
      <alignment horizontal="right" vertical="center"/>
      <protection hidden="1"/>
    </xf>
    <xf numFmtId="168" fontId="11" fillId="7" borderId="37" xfId="0" applyNumberFormat="1" applyFont="1" applyFill="1" applyBorder="1" applyAlignment="1" applyProtection="1">
      <alignment horizontal="right" vertical="center"/>
      <protection hidden="1"/>
    </xf>
    <xf numFmtId="168" fontId="11" fillId="7" borderId="58" xfId="0" applyNumberFormat="1" applyFont="1" applyFill="1" applyBorder="1" applyAlignment="1" applyProtection="1">
      <alignment horizontal="right" vertical="center"/>
      <protection hidden="1"/>
    </xf>
    <xf numFmtId="165" fontId="34" fillId="4" borderId="87" xfId="0" applyFont="1" applyFill="1" applyBorder="1" applyAlignment="1" applyProtection="1">
      <alignment horizontal="right" vertical="center"/>
      <protection hidden="1"/>
    </xf>
    <xf numFmtId="168" fontId="13" fillId="8" borderId="13" xfId="0" applyNumberFormat="1" applyFont="1" applyFill="1" applyBorder="1" applyAlignment="1" applyProtection="1">
      <alignment horizontal="right" vertical="center"/>
      <protection hidden="1"/>
    </xf>
    <xf numFmtId="168" fontId="13" fillId="8" borderId="14" xfId="0" applyNumberFormat="1" applyFont="1" applyFill="1" applyBorder="1" applyAlignment="1" applyProtection="1">
      <alignment horizontal="right" vertical="center"/>
      <protection hidden="1"/>
    </xf>
    <xf numFmtId="168" fontId="29" fillId="3" borderId="15" xfId="0" applyNumberFormat="1" applyFont="1" applyFill="1" applyBorder="1" applyAlignment="1" applyProtection="1">
      <alignment horizontal="right" vertical="center"/>
      <protection hidden="1"/>
    </xf>
    <xf numFmtId="168" fontId="29" fillId="3" borderId="1" xfId="0" applyNumberFormat="1" applyFont="1" applyFill="1" applyBorder="1" applyAlignment="1" applyProtection="1">
      <alignment horizontal="right" vertical="center"/>
      <protection hidden="1"/>
    </xf>
    <xf numFmtId="168" fontId="13" fillId="8" borderId="42" xfId="0" applyNumberFormat="1" applyFont="1" applyFill="1" applyBorder="1" applyAlignment="1" applyProtection="1">
      <alignment horizontal="right" vertical="center"/>
      <protection hidden="1"/>
    </xf>
    <xf numFmtId="168" fontId="13" fillId="8" borderId="5" xfId="0" applyNumberFormat="1" applyFont="1" applyFill="1" applyBorder="1" applyAlignment="1" applyProtection="1">
      <alignment horizontal="right" vertical="center"/>
      <protection hidden="1"/>
    </xf>
    <xf numFmtId="168" fontId="29" fillId="3" borderId="63" xfId="0" applyNumberFormat="1" applyFont="1" applyFill="1" applyBorder="1" applyAlignment="1" applyProtection="1">
      <alignment horizontal="right" vertical="center"/>
      <protection hidden="1"/>
    </xf>
    <xf numFmtId="168" fontId="29" fillId="3" borderId="65" xfId="0" applyNumberFormat="1" applyFont="1" applyFill="1" applyBorder="1" applyAlignment="1" applyProtection="1">
      <alignment horizontal="right" vertical="center"/>
      <protection hidden="1"/>
    </xf>
    <xf numFmtId="168" fontId="5" fillId="3" borderId="15" xfId="0" applyNumberFormat="1" applyFont="1" applyFill="1" applyBorder="1" applyAlignment="1" applyProtection="1">
      <alignment horizontal="right" vertical="center"/>
      <protection hidden="1"/>
    </xf>
    <xf numFmtId="168" fontId="5" fillId="3" borderId="1" xfId="0" applyNumberFormat="1" applyFont="1" applyFill="1" applyBorder="1" applyAlignment="1" applyProtection="1">
      <alignment horizontal="right" vertical="center"/>
      <protection hidden="1"/>
    </xf>
    <xf numFmtId="168" fontId="13" fillId="7" borderId="33" xfId="0" applyNumberFormat="1" applyFont="1" applyFill="1" applyBorder="1" applyAlignment="1" applyProtection="1">
      <alignment horizontal="right" vertical="center"/>
      <protection hidden="1"/>
    </xf>
    <xf numFmtId="168" fontId="13" fillId="7" borderId="34" xfId="0" applyNumberFormat="1" applyFont="1" applyFill="1" applyBorder="1" applyAlignment="1" applyProtection="1">
      <alignment horizontal="right" vertical="center"/>
      <protection hidden="1"/>
    </xf>
    <xf numFmtId="175" fontId="5" fillId="3" borderId="0" xfId="10" applyNumberFormat="1" applyFont="1" applyFill="1" applyBorder="1" applyAlignment="1" applyProtection="1">
      <alignment horizontal="center" vertical="center"/>
      <protection hidden="1"/>
    </xf>
    <xf numFmtId="185" fontId="5" fillId="3" borderId="0" xfId="5" applyNumberFormat="1" applyFont="1" applyFill="1" applyBorder="1" applyAlignment="1" applyProtection="1">
      <alignment horizontal="center" vertical="center"/>
      <protection hidden="1"/>
    </xf>
    <xf numFmtId="178" fontId="13" fillId="3" borderId="53" xfId="7" applyNumberFormat="1" applyFont="1" applyFill="1" applyBorder="1" applyAlignment="1" applyProtection="1">
      <alignment horizontal="right" vertical="center" wrapText="1"/>
      <protection hidden="1"/>
    </xf>
    <xf numFmtId="178" fontId="13" fillId="3" borderId="52" xfId="7" applyNumberFormat="1" applyFont="1" applyFill="1" applyBorder="1" applyAlignment="1" applyProtection="1">
      <alignment horizontal="right" vertical="center" wrapText="1"/>
      <protection hidden="1"/>
    </xf>
    <xf numFmtId="178" fontId="13" fillId="3" borderId="62" xfId="7" applyNumberFormat="1" applyFont="1" applyFill="1" applyBorder="1" applyAlignment="1" applyProtection="1">
      <alignment horizontal="right" vertical="center" wrapText="1"/>
      <protection hidden="1"/>
    </xf>
    <xf numFmtId="178" fontId="13" fillId="3" borderId="64" xfId="7" applyNumberFormat="1" applyFont="1" applyFill="1" applyBorder="1" applyAlignment="1" applyProtection="1">
      <alignment horizontal="right" vertical="center" wrapText="1"/>
      <protection hidden="1"/>
    </xf>
    <xf numFmtId="178" fontId="5" fillId="5" borderId="48" xfId="7" applyNumberFormat="1" applyFont="1" applyFill="1" applyBorder="1" applyAlignment="1" applyProtection="1">
      <alignment horizontal="right" vertical="center"/>
      <protection locked="0"/>
    </xf>
    <xf numFmtId="180" fontId="5" fillId="9" borderId="0" xfId="7" applyNumberFormat="1" applyFont="1" applyFill="1" applyBorder="1" applyAlignment="1" applyProtection="1">
      <alignment horizontal="right" vertical="center"/>
      <protection locked="0"/>
    </xf>
    <xf numFmtId="178" fontId="5" fillId="3" borderId="15" xfId="7" applyNumberFormat="1" applyFont="1" applyFill="1" applyBorder="1" applyAlignment="1" applyProtection="1">
      <alignment horizontal="right" vertical="center"/>
      <protection hidden="1"/>
    </xf>
    <xf numFmtId="178" fontId="5" fillId="3" borderId="1" xfId="7" applyNumberFormat="1" applyFont="1" applyFill="1" applyBorder="1" applyAlignment="1" applyProtection="1">
      <alignment horizontal="right" vertical="center"/>
      <protection hidden="1"/>
    </xf>
    <xf numFmtId="178" fontId="5" fillId="3" borderId="81" xfId="7" applyNumberFormat="1" applyFont="1" applyFill="1" applyBorder="1" applyAlignment="1" applyProtection="1">
      <alignment horizontal="right" vertical="center"/>
      <protection hidden="1"/>
    </xf>
    <xf numFmtId="178" fontId="13" fillId="3" borderId="48" xfId="7" applyNumberFormat="1" applyFont="1" applyFill="1" applyBorder="1" applyAlignment="1" applyProtection="1">
      <alignment horizontal="right" vertical="center" wrapText="1"/>
      <protection hidden="1"/>
    </xf>
    <xf numFmtId="178" fontId="23" fillId="3" borderId="0" xfId="7" applyNumberFormat="1" applyFont="1" applyFill="1" applyBorder="1" applyAlignment="1" applyProtection="1">
      <alignment horizontal="right" vertical="center" wrapText="1"/>
      <protection hidden="1"/>
    </xf>
    <xf numFmtId="178" fontId="13" fillId="3" borderId="15" xfId="7" applyNumberFormat="1" applyFont="1" applyFill="1" applyBorder="1" applyAlignment="1" applyProtection="1">
      <alignment horizontal="right" vertical="center" wrapText="1"/>
      <protection hidden="1"/>
    </xf>
    <xf numFmtId="178" fontId="13" fillId="3" borderId="1" xfId="7" applyNumberFormat="1" applyFont="1" applyFill="1" applyBorder="1" applyAlignment="1" applyProtection="1">
      <alignment horizontal="right" vertical="center" wrapText="1"/>
      <protection hidden="1"/>
    </xf>
    <xf numFmtId="178" fontId="5" fillId="3" borderId="0" xfId="7" applyNumberFormat="1" applyFont="1" applyFill="1" applyBorder="1" applyAlignment="1" applyProtection="1">
      <alignment horizontal="right" vertical="center"/>
      <protection hidden="1"/>
    </xf>
    <xf numFmtId="178" fontId="13" fillId="3" borderId="0" xfId="7" applyNumberFormat="1" applyFont="1" applyFill="1" applyBorder="1" applyAlignment="1" applyProtection="1">
      <alignment horizontal="right" vertical="center" wrapText="1"/>
      <protection hidden="1"/>
    </xf>
    <xf numFmtId="178" fontId="23" fillId="3" borderId="15" xfId="7" applyNumberFormat="1" applyFont="1" applyFill="1" applyBorder="1" applyAlignment="1" applyProtection="1">
      <alignment horizontal="right" vertical="center" wrapText="1"/>
      <protection hidden="1"/>
    </xf>
    <xf numFmtId="178" fontId="23" fillId="3" borderId="1" xfId="7" applyNumberFormat="1" applyFont="1" applyFill="1" applyBorder="1" applyAlignment="1" applyProtection="1">
      <alignment horizontal="right" vertical="center" wrapText="1"/>
      <protection hidden="1"/>
    </xf>
    <xf numFmtId="178" fontId="13" fillId="3" borderId="48" xfId="7" applyNumberFormat="1" applyFont="1" applyFill="1" applyBorder="1" applyAlignment="1" applyProtection="1">
      <alignment horizontal="right" vertical="center"/>
      <protection hidden="1"/>
    </xf>
    <xf numFmtId="178" fontId="5" fillId="3" borderId="48" xfId="7" applyNumberFormat="1" applyFont="1" applyFill="1" applyBorder="1" applyAlignment="1" applyProtection="1">
      <alignment horizontal="right" vertical="center"/>
      <protection hidden="1"/>
    </xf>
    <xf numFmtId="173" fontId="34" fillId="4" borderId="59" xfId="7" applyNumberFormat="1" applyFont="1" applyFill="1" applyBorder="1" applyAlignment="1" applyProtection="1">
      <alignment horizontal="right" vertical="center"/>
      <protection hidden="1"/>
    </xf>
    <xf numFmtId="173" fontId="34" fillId="4" borderId="58" xfId="7" applyNumberFormat="1" applyFont="1" applyFill="1" applyBorder="1" applyAlignment="1" applyProtection="1">
      <alignment horizontal="right" vertical="center"/>
      <protection hidden="1"/>
    </xf>
    <xf numFmtId="173" fontId="34" fillId="4" borderId="60" xfId="7" applyNumberFormat="1" applyFont="1" applyFill="1" applyBorder="1" applyAlignment="1" applyProtection="1">
      <alignment horizontal="right" vertical="center"/>
      <protection hidden="1"/>
    </xf>
    <xf numFmtId="173" fontId="34" fillId="4" borderId="66" xfId="7" applyNumberFormat="1" applyFont="1" applyFill="1" applyBorder="1" applyAlignment="1" applyProtection="1">
      <alignment horizontal="right" vertical="center"/>
      <protection hidden="1"/>
    </xf>
    <xf numFmtId="173" fontId="11" fillId="4" borderId="66" xfId="7" applyNumberFormat="1" applyFont="1" applyFill="1" applyBorder="1" applyAlignment="1" applyProtection="1">
      <alignment horizontal="right" vertical="center"/>
      <protection hidden="1"/>
    </xf>
    <xf numFmtId="173" fontId="11" fillId="4" borderId="58" xfId="7" applyNumberFormat="1" applyFont="1" applyFill="1" applyBorder="1" applyAlignment="1" applyProtection="1">
      <alignment horizontal="right" vertical="center"/>
      <protection hidden="1"/>
    </xf>
    <xf numFmtId="3" fontId="4" fillId="3" borderId="63" xfId="9" applyFont="1" applyFill="1" applyBorder="1" applyAlignment="1" applyProtection="1">
      <alignment horizontal="right" vertical="center" wrapText="1"/>
      <protection hidden="1"/>
    </xf>
    <xf numFmtId="3" fontId="4" fillId="3" borderId="27" xfId="9" applyFont="1" applyFill="1" applyBorder="1" applyAlignment="1" applyProtection="1">
      <alignment horizontal="right" vertical="center" wrapText="1"/>
      <protection hidden="1"/>
    </xf>
    <xf numFmtId="3" fontId="4" fillId="3" borderId="28" xfId="9" applyFont="1" applyFill="1" applyBorder="1" applyAlignment="1" applyProtection="1">
      <alignment horizontal="right" vertical="center" wrapText="1"/>
      <protection hidden="1"/>
    </xf>
    <xf numFmtId="3" fontId="4" fillId="3" borderId="42" xfId="9" applyFont="1" applyFill="1" applyBorder="1" applyAlignment="1" applyProtection="1">
      <alignment horizontal="right" vertical="center" wrapText="1"/>
      <protection hidden="1"/>
    </xf>
    <xf numFmtId="3" fontId="4" fillId="3" borderId="9" xfId="9" applyFont="1" applyFill="1" applyBorder="1" applyAlignment="1" applyProtection="1">
      <alignment horizontal="right" vertical="center" wrapText="1"/>
      <protection hidden="1"/>
    </xf>
    <xf numFmtId="3" fontId="4" fillId="3" borderId="25" xfId="9" applyFont="1" applyFill="1" applyBorder="1" applyAlignment="1" applyProtection="1">
      <alignment horizontal="right" vertical="center" wrapText="1"/>
      <protection hidden="1"/>
    </xf>
    <xf numFmtId="3" fontId="4" fillId="3" borderId="62" xfId="9" applyFont="1" applyFill="1" applyBorder="1" applyAlignment="1" applyProtection="1">
      <alignment horizontal="right" vertical="center" wrapText="1"/>
      <protection hidden="1"/>
    </xf>
    <xf numFmtId="3" fontId="4" fillId="3" borderId="30" xfId="9" applyFont="1" applyFill="1" applyBorder="1" applyAlignment="1" applyProtection="1">
      <alignment horizontal="right" vertical="center" wrapText="1"/>
      <protection hidden="1"/>
    </xf>
    <xf numFmtId="3" fontId="4" fillId="3" borderId="31" xfId="9" applyFont="1" applyFill="1" applyBorder="1" applyAlignment="1" applyProtection="1">
      <alignment horizontal="right" vertical="center" wrapText="1"/>
      <protection hidden="1"/>
    </xf>
    <xf numFmtId="3" fontId="34" fillId="4" borderId="60" xfId="9" applyFont="1" applyFill="1" applyBorder="1" applyAlignment="1" applyProtection="1">
      <alignment horizontal="right" vertical="center" wrapText="1"/>
      <protection hidden="1"/>
    </xf>
    <xf numFmtId="3" fontId="34" fillId="4" borderId="20" xfId="9" applyFont="1" applyFill="1" applyBorder="1" applyAlignment="1" applyProtection="1">
      <alignment horizontal="right" vertical="center" wrapText="1"/>
      <protection hidden="1"/>
    </xf>
    <xf numFmtId="3" fontId="34" fillId="4" borderId="21" xfId="9" applyFont="1" applyFill="1" applyBorder="1" applyAlignment="1" applyProtection="1">
      <alignment horizontal="right" vertical="center" wrapText="1"/>
      <protection hidden="1"/>
    </xf>
    <xf numFmtId="3" fontId="4" fillId="3" borderId="19" xfId="9" applyFont="1" applyFill="1" applyBorder="1" applyAlignment="1" applyProtection="1">
      <alignment horizontal="right" vertical="center" wrapText="1"/>
      <protection hidden="1"/>
    </xf>
    <xf numFmtId="3" fontId="4" fillId="3" borderId="32" xfId="9" applyFont="1" applyFill="1" applyBorder="1" applyAlignment="1" applyProtection="1">
      <alignment horizontal="right" vertical="center" wrapText="1"/>
      <protection hidden="1"/>
    </xf>
    <xf numFmtId="3" fontId="4" fillId="3" borderId="33" xfId="9" applyFont="1" applyFill="1" applyBorder="1" applyAlignment="1" applyProtection="1">
      <alignment horizontal="right" vertical="center" wrapText="1"/>
      <protection hidden="1"/>
    </xf>
    <xf numFmtId="3" fontId="4" fillId="3" borderId="34" xfId="9" applyFont="1" applyFill="1" applyBorder="1" applyAlignment="1" applyProtection="1">
      <alignment horizontal="right" vertical="center" wrapText="1"/>
      <protection hidden="1"/>
    </xf>
    <xf numFmtId="3" fontId="34" fillId="4" borderId="74" xfId="6" applyFont="1" applyFill="1" applyBorder="1" applyAlignment="1" applyProtection="1">
      <alignment horizontal="right" vertical="center"/>
      <protection hidden="1"/>
    </xf>
    <xf numFmtId="3" fontId="34" fillId="4" borderId="61" xfId="6" applyFont="1" applyFill="1" applyBorder="1" applyAlignment="1" applyProtection="1">
      <alignment horizontal="right" vertical="center"/>
      <protection hidden="1"/>
    </xf>
    <xf numFmtId="3" fontId="34" fillId="4" borderId="75" xfId="6" applyFont="1" applyFill="1" applyBorder="1" applyAlignment="1" applyProtection="1">
      <alignment horizontal="right" vertical="center"/>
      <protection hidden="1"/>
    </xf>
    <xf numFmtId="3" fontId="13" fillId="6" borderId="11" xfId="6" applyFont="1" applyFill="1" applyBorder="1" applyAlignment="1" applyProtection="1">
      <alignment horizontal="right" vertical="center"/>
      <protection hidden="1"/>
    </xf>
    <xf numFmtId="3" fontId="40" fillId="6" borderId="11" xfId="6" applyFont="1" applyFill="1" applyBorder="1" applyAlignment="1" applyProtection="1">
      <alignment horizontal="right" vertical="center"/>
      <protection hidden="1"/>
    </xf>
    <xf numFmtId="3" fontId="13" fillId="6" borderId="13" xfId="6" applyFont="1" applyFill="1" applyBorder="1" applyAlignment="1" applyProtection="1">
      <alignment horizontal="right" vertical="center"/>
      <protection hidden="1"/>
    </xf>
    <xf numFmtId="3" fontId="13" fillId="6" borderId="14" xfId="6" applyFont="1" applyFill="1" applyBorder="1" applyAlignment="1" applyProtection="1">
      <alignment horizontal="right" vertical="center"/>
      <protection hidden="1"/>
    </xf>
    <xf numFmtId="3" fontId="5" fillId="5" borderId="48" xfId="6" applyFont="1" applyFill="1" applyBorder="1" applyAlignment="1" applyProtection="1">
      <alignment horizontal="right" vertical="center" wrapText="1"/>
      <protection locked="0"/>
    </xf>
    <xf numFmtId="3" fontId="37" fillId="3" borderId="48" xfId="6" applyFont="1" applyFill="1" applyBorder="1" applyAlignment="1" applyProtection="1">
      <alignment horizontal="right" vertical="center"/>
      <protection hidden="1"/>
    </xf>
    <xf numFmtId="3" fontId="5" fillId="3" borderId="15" xfId="6" applyFont="1" applyFill="1" applyBorder="1" applyAlignment="1" applyProtection="1">
      <alignment horizontal="right" vertical="center"/>
      <protection hidden="1"/>
    </xf>
    <xf numFmtId="3" fontId="5" fillId="3" borderId="1" xfId="6" applyFont="1" applyFill="1" applyBorder="1" applyAlignment="1" applyProtection="1">
      <alignment horizontal="right" vertical="center"/>
      <protection hidden="1"/>
    </xf>
    <xf numFmtId="10" fontId="5" fillId="5" borderId="48" xfId="6" applyNumberFormat="1" applyFont="1" applyFill="1" applyBorder="1" applyAlignment="1" applyProtection="1">
      <alignment horizontal="right" vertical="center"/>
      <protection locked="0"/>
    </xf>
    <xf numFmtId="3" fontId="5" fillId="3" borderId="15" xfId="11" applyNumberFormat="1" applyFont="1" applyFill="1" applyBorder="1" applyAlignment="1" applyProtection="1">
      <alignment horizontal="right" vertical="center"/>
      <protection hidden="1"/>
    </xf>
    <xf numFmtId="10" fontId="5" fillId="9" borderId="48" xfId="6" applyNumberFormat="1" applyFont="1" applyFill="1" applyBorder="1" applyAlignment="1" applyProtection="1">
      <alignment horizontal="right" vertical="center"/>
      <protection locked="0"/>
    </xf>
    <xf numFmtId="3" fontId="5" fillId="3" borderId="1" xfId="11" applyNumberFormat="1" applyFont="1" applyFill="1" applyBorder="1" applyAlignment="1" applyProtection="1">
      <alignment horizontal="right" vertical="center"/>
      <protection hidden="1"/>
    </xf>
    <xf numFmtId="3" fontId="5" fillId="3" borderId="48" xfId="6" applyFont="1" applyFill="1" applyBorder="1" applyAlignment="1" applyProtection="1">
      <alignment horizontal="right" vertical="center"/>
      <protection hidden="1"/>
    </xf>
    <xf numFmtId="10" fontId="5" fillId="3" borderId="48" xfId="6" applyNumberFormat="1" applyFont="1" applyFill="1" applyBorder="1" applyAlignment="1" applyProtection="1">
      <alignment horizontal="right" vertical="center"/>
      <protection hidden="1"/>
    </xf>
    <xf numFmtId="3" fontId="5" fillId="5" borderId="48" xfId="6" applyFont="1" applyFill="1" applyBorder="1" applyAlignment="1" applyProtection="1">
      <alignment horizontal="right" vertical="center"/>
      <protection locked="0"/>
    </xf>
    <xf numFmtId="3" fontId="13" fillId="6" borderId="41" xfId="6" applyFont="1" applyFill="1" applyBorder="1" applyAlignment="1" applyProtection="1">
      <alignment horizontal="right" vertical="center"/>
      <protection hidden="1"/>
    </xf>
    <xf numFmtId="3" fontId="13" fillId="6" borderId="42" xfId="1" applyNumberFormat="1" applyFont="1" applyFill="1" applyBorder="1" applyAlignment="1" applyProtection="1">
      <alignment horizontal="right" vertical="center"/>
      <protection hidden="1"/>
    </xf>
    <xf numFmtId="3" fontId="13" fillId="6" borderId="5" xfId="1" applyNumberFormat="1" applyFont="1" applyFill="1" applyBorder="1" applyAlignment="1" applyProtection="1">
      <alignment horizontal="right" vertical="center"/>
      <protection hidden="1"/>
    </xf>
    <xf numFmtId="3" fontId="13" fillId="6" borderId="56" xfId="6" applyFont="1" applyFill="1" applyBorder="1" applyAlignment="1" applyProtection="1">
      <alignment horizontal="right" vertical="center"/>
      <protection hidden="1"/>
    </xf>
    <xf numFmtId="3" fontId="13" fillId="6" borderId="63" xfId="11" applyNumberFormat="1" applyFont="1" applyFill="1" applyBorder="1" applyAlignment="1" applyProtection="1">
      <alignment horizontal="right" vertical="center"/>
      <protection hidden="1"/>
    </xf>
    <xf numFmtId="3" fontId="13" fillId="6" borderId="65" xfId="11" applyNumberFormat="1" applyFont="1" applyFill="1" applyBorder="1" applyAlignment="1" applyProtection="1">
      <alignment horizontal="right" vertical="center"/>
      <protection hidden="1"/>
    </xf>
    <xf numFmtId="3" fontId="13" fillId="6" borderId="9" xfId="6" applyFont="1" applyFill="1" applyBorder="1" applyAlignment="1" applyProtection="1">
      <alignment horizontal="right" vertical="center"/>
      <protection hidden="1"/>
    </xf>
    <xf numFmtId="3" fontId="13" fillId="6" borderId="42" xfId="6" applyFont="1" applyFill="1" applyBorder="1" applyAlignment="1" applyProtection="1">
      <alignment horizontal="right" vertical="center"/>
      <protection hidden="1"/>
    </xf>
    <xf numFmtId="3" fontId="13" fillId="6" borderId="5" xfId="6" applyFont="1" applyFill="1" applyBorder="1" applyAlignment="1" applyProtection="1">
      <alignment horizontal="right" vertical="center"/>
      <protection hidden="1"/>
    </xf>
    <xf numFmtId="3" fontId="5" fillId="3" borderId="53" xfId="6" applyFont="1" applyFill="1" applyBorder="1" applyAlignment="1" applyProtection="1">
      <alignment horizontal="right" vertical="center"/>
      <protection hidden="1"/>
    </xf>
    <xf numFmtId="3" fontId="5" fillId="3" borderId="62" xfId="6" applyNumberFormat="1" applyFont="1" applyFill="1" applyBorder="1" applyAlignment="1" applyProtection="1">
      <alignment horizontal="right" vertical="center"/>
      <protection hidden="1"/>
    </xf>
    <xf numFmtId="3" fontId="5" fillId="3" borderId="64" xfId="6" applyNumberFormat="1" applyFont="1" applyFill="1" applyBorder="1" applyAlignment="1" applyProtection="1">
      <alignment horizontal="right" vertical="center"/>
      <protection hidden="1"/>
    </xf>
    <xf numFmtId="3" fontId="13" fillId="5" borderId="56" xfId="6" applyFont="1" applyFill="1" applyBorder="1" applyAlignment="1" applyProtection="1">
      <alignment horizontal="right" vertical="center"/>
      <protection locked="0"/>
    </xf>
    <xf numFmtId="3" fontId="13" fillId="3" borderId="56" xfId="6" applyFont="1" applyFill="1" applyBorder="1" applyAlignment="1" applyProtection="1">
      <alignment horizontal="right" vertical="center"/>
      <protection hidden="1"/>
    </xf>
    <xf numFmtId="3" fontId="13" fillId="5" borderId="63" xfId="6" applyNumberFormat="1" applyFont="1" applyFill="1" applyBorder="1" applyAlignment="1" applyProtection="1">
      <alignment horizontal="right" vertical="center"/>
      <protection locked="0"/>
    </xf>
    <xf numFmtId="3" fontId="13" fillId="5" borderId="65" xfId="6" applyNumberFormat="1" applyFont="1" applyFill="1" applyBorder="1" applyAlignment="1" applyProtection="1">
      <alignment horizontal="right" vertical="center"/>
      <protection locked="0"/>
    </xf>
    <xf numFmtId="3" fontId="34" fillId="4" borderId="17" xfId="6" applyFont="1" applyFill="1" applyBorder="1" applyAlignment="1" applyProtection="1">
      <alignment horizontal="right" vertical="center"/>
      <protection hidden="1"/>
    </xf>
    <xf numFmtId="3" fontId="34" fillId="4" borderId="24" xfId="6" applyFont="1" applyFill="1" applyBorder="1" applyAlignment="1" applyProtection="1">
      <alignment horizontal="right" vertical="center"/>
      <protection hidden="1"/>
    </xf>
    <xf numFmtId="3" fontId="34" fillId="4" borderId="8" xfId="6" applyNumberFormat="1" applyFont="1" applyFill="1" applyBorder="1" applyAlignment="1" applyProtection="1">
      <alignment horizontal="right" vertical="center"/>
      <protection hidden="1"/>
    </xf>
    <xf numFmtId="3" fontId="11" fillId="3" borderId="58" xfId="6" applyNumberFormat="1" applyFont="1" applyFill="1" applyBorder="1" applyAlignment="1" applyProtection="1">
      <alignment horizontal="right" vertical="center"/>
      <protection hidden="1"/>
    </xf>
    <xf numFmtId="3" fontId="13" fillId="6" borderId="63" xfId="6" applyFont="1" applyFill="1" applyBorder="1" applyAlignment="1" applyProtection="1">
      <alignment horizontal="right" vertical="center"/>
      <protection hidden="1"/>
    </xf>
    <xf numFmtId="3" fontId="13" fillId="6" borderId="55" xfId="6" applyFont="1" applyFill="1" applyBorder="1" applyAlignment="1" applyProtection="1">
      <alignment horizontal="right" vertical="center"/>
      <protection hidden="1"/>
    </xf>
    <xf numFmtId="3" fontId="13" fillId="6" borderId="65" xfId="6" applyFont="1" applyFill="1" applyBorder="1" applyAlignment="1" applyProtection="1">
      <alignment horizontal="right" vertical="center"/>
      <protection hidden="1"/>
    </xf>
    <xf numFmtId="3" fontId="5" fillId="3" borderId="0" xfId="6" applyFont="1" applyFill="1" applyBorder="1" applyAlignment="1" applyProtection="1">
      <alignment horizontal="right" vertical="center"/>
      <protection hidden="1"/>
    </xf>
    <xf numFmtId="3" fontId="13" fillId="6" borderId="4" xfId="6" applyFont="1" applyFill="1" applyBorder="1" applyAlignment="1" applyProtection="1">
      <alignment horizontal="right" vertical="center"/>
      <protection hidden="1"/>
    </xf>
    <xf numFmtId="3" fontId="34" fillId="4" borderId="24" xfId="6" applyNumberFormat="1" applyFont="1" applyFill="1" applyBorder="1" applyAlignment="1" applyProtection="1">
      <alignment horizontal="right" vertical="center"/>
      <protection hidden="1"/>
    </xf>
    <xf numFmtId="0" fontId="5" fillId="3" borderId="0" xfId="5" applyFont="1" applyFill="1" applyAlignment="1" applyProtection="1">
      <alignment horizontal="center" vertical="center"/>
      <protection hidden="1"/>
    </xf>
    <xf numFmtId="3" fontId="11" fillId="6" borderId="4" xfId="5" applyNumberFormat="1" applyFont="1" applyFill="1" applyBorder="1" applyAlignment="1" applyProtection="1">
      <alignment horizontal="center" vertical="center"/>
      <protection hidden="1"/>
    </xf>
    <xf numFmtId="185" fontId="5" fillId="3" borderId="55" xfId="5" applyNumberFormat="1" applyFont="1" applyFill="1" applyBorder="1" applyAlignment="1" applyProtection="1">
      <alignment horizontal="center" vertical="center"/>
      <protection hidden="1"/>
    </xf>
    <xf numFmtId="173" fontId="5" fillId="3" borderId="0" xfId="10" applyNumberFormat="1" applyFont="1" applyFill="1" applyBorder="1" applyAlignment="1" applyProtection="1">
      <alignment horizontal="center" vertical="center"/>
      <protection hidden="1"/>
    </xf>
    <xf numFmtId="173" fontId="5" fillId="3" borderId="0" xfId="5" applyNumberFormat="1" applyFont="1" applyFill="1" applyBorder="1" applyAlignment="1" applyProtection="1">
      <alignment horizontal="center" vertical="center"/>
      <protection hidden="1"/>
    </xf>
    <xf numFmtId="173" fontId="11" fillId="7" borderId="4" xfId="0" applyNumberFormat="1" applyFont="1" applyFill="1" applyBorder="1" applyAlignment="1" applyProtection="1">
      <alignment horizontal="center" vertical="center"/>
      <protection hidden="1"/>
    </xf>
    <xf numFmtId="173" fontId="35" fillId="4" borderId="4" xfId="2" applyNumberFormat="1" applyFont="1" applyFill="1" applyBorder="1" applyAlignment="1" applyProtection="1">
      <alignment horizontal="center" vertical="center"/>
      <protection hidden="1"/>
    </xf>
    <xf numFmtId="165" fontId="5" fillId="3" borderId="53" xfId="0" applyFont="1" applyFill="1" applyBorder="1" applyAlignment="1" applyProtection="1">
      <alignment horizontal="right" vertical="center"/>
      <protection hidden="1"/>
    </xf>
    <xf numFmtId="181" fontId="5" fillId="0" borderId="52" xfId="0" applyNumberFormat="1" applyFont="1" applyFill="1" applyBorder="1" applyAlignment="1" applyProtection="1">
      <alignment horizontal="right" vertical="center"/>
      <protection locked="0"/>
    </xf>
    <xf numFmtId="181" fontId="5" fillId="9" borderId="52" xfId="0" applyNumberFormat="1" applyFont="1" applyFill="1" applyBorder="1" applyAlignment="1" applyProtection="1">
      <alignment horizontal="right" vertical="center"/>
      <protection locked="0"/>
    </xf>
    <xf numFmtId="181" fontId="5" fillId="0" borderId="0" xfId="0" applyNumberFormat="1" applyFont="1" applyFill="1" applyBorder="1" applyAlignment="1" applyProtection="1">
      <alignment horizontal="right" vertical="center"/>
      <protection locked="0"/>
    </xf>
    <xf numFmtId="181" fontId="5" fillId="9" borderId="0" xfId="0" applyNumberFormat="1" applyFont="1" applyFill="1" applyBorder="1" applyAlignment="1" applyProtection="1">
      <alignment horizontal="right" vertical="center"/>
      <protection locked="0"/>
    </xf>
    <xf numFmtId="173" fontId="5" fillId="9" borderId="48" xfId="0" applyNumberFormat="1" applyFont="1" applyFill="1" applyBorder="1" applyAlignment="1" applyProtection="1">
      <alignment horizontal="right" vertical="center"/>
      <protection locked="0"/>
    </xf>
    <xf numFmtId="173" fontId="5" fillId="9" borderId="74" xfId="0" applyNumberFormat="1" applyFont="1" applyFill="1" applyBorder="1" applyAlignment="1" applyProtection="1">
      <alignment horizontal="right" vertical="center"/>
      <protection locked="0"/>
    </xf>
    <xf numFmtId="173" fontId="5" fillId="0" borderId="48" xfId="0" applyNumberFormat="1" applyFont="1" applyFill="1" applyBorder="1" applyAlignment="1" applyProtection="1">
      <alignment horizontal="right" vertical="center"/>
      <protection locked="0"/>
    </xf>
    <xf numFmtId="173" fontId="5" fillId="3" borderId="0" xfId="0" applyNumberFormat="1" applyFont="1" applyFill="1" applyBorder="1" applyAlignment="1" applyProtection="1">
      <alignment horizontal="right" vertical="center"/>
      <protection hidden="1"/>
    </xf>
    <xf numFmtId="173" fontId="5" fillId="3" borderId="15" xfId="0" applyNumberFormat="1" applyFont="1" applyFill="1" applyBorder="1" applyAlignment="1" applyProtection="1">
      <alignment horizontal="right" vertical="center"/>
      <protection hidden="1"/>
    </xf>
    <xf numFmtId="173" fontId="5" fillId="3" borderId="1" xfId="0" applyNumberFormat="1" applyFont="1" applyFill="1" applyBorder="1" applyAlignment="1" applyProtection="1">
      <alignment horizontal="right" vertical="center"/>
      <protection hidden="1"/>
    </xf>
    <xf numFmtId="173" fontId="5" fillId="0" borderId="74" xfId="0" applyNumberFormat="1" applyFont="1" applyFill="1" applyBorder="1" applyAlignment="1" applyProtection="1">
      <alignment horizontal="right" vertical="center"/>
      <protection locked="0"/>
    </xf>
    <xf numFmtId="173" fontId="5" fillId="3" borderId="72" xfId="0" applyNumberFormat="1" applyFont="1" applyFill="1" applyBorder="1" applyAlignment="1" applyProtection="1">
      <alignment horizontal="right" vertical="center"/>
      <protection hidden="1"/>
    </xf>
    <xf numFmtId="173" fontId="5" fillId="3" borderId="61" xfId="0" applyNumberFormat="1" applyFont="1" applyFill="1" applyBorder="1" applyAlignment="1" applyProtection="1">
      <alignment horizontal="right" vertical="center"/>
      <protection hidden="1"/>
    </xf>
    <xf numFmtId="173" fontId="5" fillId="3" borderId="75" xfId="0" applyNumberFormat="1" applyFont="1" applyFill="1" applyBorder="1" applyAlignment="1" applyProtection="1">
      <alignment horizontal="right" vertical="center"/>
      <protection hidden="1"/>
    </xf>
    <xf numFmtId="3" fontId="20" fillId="4" borderId="41" xfId="7" applyFont="1" applyFill="1" applyBorder="1" applyAlignment="1" applyProtection="1">
      <alignment vertical="center" wrapText="1"/>
      <protection hidden="1"/>
    </xf>
    <xf numFmtId="3" fontId="20" fillId="4" borderId="4" xfId="7" applyFont="1" applyFill="1" applyBorder="1" applyAlignment="1" applyProtection="1">
      <alignment vertical="center" wrapText="1"/>
      <protection hidden="1"/>
    </xf>
    <xf numFmtId="3" fontId="20" fillId="4" borderId="42" xfId="7" applyFont="1" applyFill="1" applyBorder="1" applyAlignment="1" applyProtection="1">
      <alignment vertical="center" wrapText="1"/>
      <protection hidden="1"/>
    </xf>
    <xf numFmtId="170" fontId="29" fillId="3" borderId="15" xfId="10" applyNumberFormat="1" applyFont="1" applyFill="1" applyBorder="1" applyAlignment="1" applyProtection="1">
      <alignment horizontal="right" vertical="center"/>
      <protection hidden="1"/>
    </xf>
    <xf numFmtId="168" fontId="11" fillId="6" borderId="41" xfId="0" applyNumberFormat="1" applyFont="1" applyFill="1" applyBorder="1" applyAlignment="1" applyProtection="1">
      <alignment horizontal="right" vertical="center"/>
      <protection hidden="1"/>
    </xf>
    <xf numFmtId="170" fontId="32" fillId="6" borderId="42" xfId="10" applyNumberFormat="1" applyFont="1" applyFill="1" applyBorder="1" applyAlignment="1" applyProtection="1">
      <alignment horizontal="right" vertical="center"/>
      <protection hidden="1"/>
    </xf>
    <xf numFmtId="168" fontId="11" fillId="6" borderId="4" xfId="0" applyNumberFormat="1" applyFont="1" applyFill="1" applyBorder="1" applyAlignment="1" applyProtection="1">
      <alignment horizontal="right" vertical="center"/>
      <protection hidden="1"/>
    </xf>
    <xf numFmtId="168" fontId="13" fillId="7" borderId="17" xfId="0" applyNumberFormat="1" applyFont="1" applyFill="1" applyBorder="1" applyAlignment="1" applyProtection="1">
      <alignment horizontal="right" vertical="center"/>
      <protection hidden="1"/>
    </xf>
    <xf numFmtId="170" fontId="32" fillId="7" borderId="24" xfId="10" applyNumberFormat="1" applyFont="1" applyFill="1" applyBorder="1" applyAlignment="1" applyProtection="1">
      <alignment horizontal="right" vertical="center"/>
      <protection hidden="1"/>
    </xf>
    <xf numFmtId="168" fontId="13" fillId="7" borderId="7" xfId="0" applyNumberFormat="1" applyFont="1" applyFill="1" applyBorder="1" applyAlignment="1" applyProtection="1">
      <alignment horizontal="right" vertical="center"/>
      <protection hidden="1"/>
    </xf>
    <xf numFmtId="168" fontId="34" fillId="4" borderId="59" xfId="0" applyNumberFormat="1" applyFont="1" applyFill="1" applyBorder="1" applyAlignment="1" applyProtection="1">
      <alignment horizontal="right" vertical="center"/>
      <protection hidden="1"/>
    </xf>
    <xf numFmtId="170" fontId="44" fillId="4" borderId="60" xfId="10" applyNumberFormat="1" applyFont="1" applyFill="1" applyBorder="1" applyAlignment="1" applyProtection="1">
      <alignment horizontal="right" vertical="center"/>
      <protection hidden="1"/>
    </xf>
    <xf numFmtId="168" fontId="34" fillId="4" borderId="58" xfId="0" applyNumberFormat="1" applyFont="1" applyFill="1" applyBorder="1" applyAlignment="1" applyProtection="1">
      <alignment horizontal="right" vertical="center"/>
      <protection hidden="1"/>
    </xf>
    <xf numFmtId="168" fontId="11" fillId="6" borderId="11" xfId="0" applyNumberFormat="1" applyFont="1" applyFill="1" applyBorder="1" applyAlignment="1" applyProtection="1">
      <alignment horizontal="right" vertical="center"/>
      <protection hidden="1"/>
    </xf>
    <xf numFmtId="170" fontId="32" fillId="6" borderId="13" xfId="10" applyNumberFormat="1" applyFont="1" applyFill="1" applyBorder="1" applyAlignment="1" applyProtection="1">
      <alignment horizontal="right" vertical="center"/>
      <protection hidden="1"/>
    </xf>
    <xf numFmtId="168" fontId="11" fillId="6" borderId="12" xfId="0" applyNumberFormat="1" applyFont="1" applyFill="1" applyBorder="1" applyAlignment="1" applyProtection="1">
      <alignment horizontal="right" vertical="center"/>
      <protection hidden="1"/>
    </xf>
    <xf numFmtId="170" fontId="29" fillId="3" borderId="63" xfId="10" applyNumberFormat="1" applyFont="1" applyFill="1" applyBorder="1" applyAlignment="1" applyProtection="1">
      <alignment horizontal="right" vertical="center"/>
      <protection hidden="1"/>
    </xf>
    <xf numFmtId="168" fontId="34" fillId="4" borderId="17" xfId="0" applyNumberFormat="1" applyFont="1" applyFill="1" applyBorder="1" applyAlignment="1" applyProtection="1">
      <alignment horizontal="right" vertical="center"/>
      <protection hidden="1"/>
    </xf>
    <xf numFmtId="170" fontId="44" fillId="4" borderId="61" xfId="10" applyNumberFormat="1" applyFont="1" applyFill="1" applyBorder="1" applyAlignment="1" applyProtection="1">
      <alignment horizontal="right" vertical="center"/>
      <protection hidden="1"/>
    </xf>
    <xf numFmtId="168" fontId="6" fillId="3" borderId="0" xfId="0" applyNumberFormat="1" applyFont="1" applyFill="1" applyBorder="1" applyAlignment="1" applyProtection="1">
      <alignment horizontal="right" vertical="center"/>
      <protection hidden="1"/>
    </xf>
    <xf numFmtId="165" fontId="29" fillId="3" borderId="0" xfId="0" applyFont="1" applyFill="1" applyBorder="1" applyAlignment="1" applyProtection="1">
      <alignment horizontal="right" vertical="center"/>
      <protection hidden="1"/>
    </xf>
    <xf numFmtId="168" fontId="35" fillId="4" borderId="59" xfId="0" applyNumberFormat="1" applyFont="1" applyFill="1" applyBorder="1" applyAlignment="1" applyProtection="1">
      <alignment horizontal="right" vertical="center"/>
      <protection hidden="1"/>
    </xf>
    <xf numFmtId="168" fontId="35" fillId="3" borderId="0" xfId="0" applyNumberFormat="1" applyFont="1" applyFill="1" applyBorder="1" applyAlignment="1" applyProtection="1">
      <alignment horizontal="right" vertical="center"/>
      <protection hidden="1"/>
    </xf>
    <xf numFmtId="164" fontId="44" fillId="3" borderId="0" xfId="0" applyNumberFormat="1" applyFont="1" applyFill="1" applyBorder="1" applyAlignment="1" applyProtection="1">
      <alignment horizontal="right" vertical="center"/>
      <protection hidden="1"/>
    </xf>
    <xf numFmtId="175" fontId="32" fillId="6" borderId="63" xfId="10" applyNumberFormat="1" applyFont="1" applyFill="1" applyBorder="1" applyAlignment="1" applyProtection="1">
      <alignment horizontal="center" vertical="center"/>
      <protection hidden="1"/>
    </xf>
    <xf numFmtId="175" fontId="29" fillId="3" borderId="15" xfId="10" applyNumberFormat="1" applyFont="1" applyFill="1" applyBorder="1" applyAlignment="1" applyProtection="1">
      <alignment horizontal="right" vertical="center"/>
      <protection hidden="1"/>
    </xf>
    <xf numFmtId="175" fontId="32" fillId="6" borderId="42" xfId="10" applyNumberFormat="1" applyFont="1" applyFill="1" applyBorder="1" applyAlignment="1" applyProtection="1">
      <alignment horizontal="right" vertical="center"/>
      <protection hidden="1"/>
    </xf>
    <xf numFmtId="175" fontId="32" fillId="7" borderId="24" xfId="10" applyNumberFormat="1" applyFont="1" applyFill="1" applyBorder="1" applyAlignment="1" applyProtection="1">
      <alignment horizontal="right" vertical="center"/>
      <protection hidden="1"/>
    </xf>
    <xf numFmtId="175" fontId="44" fillId="4" borderId="60" xfId="10" applyNumberFormat="1" applyFont="1" applyFill="1" applyBorder="1" applyAlignment="1" applyProtection="1">
      <alignment horizontal="right" vertical="center"/>
      <protection hidden="1"/>
    </xf>
    <xf numFmtId="175" fontId="32" fillId="6" borderId="13" xfId="10" applyNumberFormat="1" applyFont="1" applyFill="1" applyBorder="1" applyAlignment="1" applyProtection="1">
      <alignment horizontal="right" vertical="center"/>
      <protection hidden="1"/>
    </xf>
    <xf numFmtId="175" fontId="29" fillId="3" borderId="63" xfId="10" applyNumberFormat="1" applyFont="1" applyFill="1" applyBorder="1" applyAlignment="1" applyProtection="1">
      <alignment horizontal="right" vertical="center"/>
      <protection hidden="1"/>
    </xf>
    <xf numFmtId="175" fontId="44" fillId="4" borderId="61" xfId="10" applyNumberFormat="1" applyFont="1" applyFill="1" applyBorder="1" applyAlignment="1" applyProtection="1">
      <alignment horizontal="right" vertical="center"/>
      <protection hidden="1"/>
    </xf>
    <xf numFmtId="175" fontId="29" fillId="3" borderId="0" xfId="0" applyNumberFormat="1" applyFont="1" applyFill="1" applyBorder="1" applyAlignment="1" applyProtection="1">
      <alignment horizontal="right" vertical="center"/>
      <protection hidden="1"/>
    </xf>
    <xf numFmtId="175" fontId="44" fillId="3" borderId="0" xfId="0" applyNumberFormat="1" applyFont="1" applyFill="1" applyBorder="1" applyAlignment="1" applyProtection="1">
      <alignment horizontal="right" vertical="center"/>
      <protection hidden="1"/>
    </xf>
    <xf numFmtId="165" fontId="34" fillId="4" borderId="0" xfId="0" applyFont="1" applyFill="1" applyBorder="1" applyAlignment="1" applyProtection="1">
      <alignment horizontal="right" vertical="center"/>
      <protection hidden="1"/>
    </xf>
    <xf numFmtId="10" fontId="5" fillId="16" borderId="83" xfId="10" applyNumberFormat="1" applyFont="1" applyFill="1" applyBorder="1" applyAlignment="1" applyProtection="1">
      <alignment horizontal="center" vertical="center"/>
      <protection locked="0"/>
    </xf>
    <xf numFmtId="165" fontId="46" fillId="11" borderId="0" xfId="0" applyFont="1" applyFill="1" applyAlignment="1" applyProtection="1">
      <alignment horizontal="center"/>
      <protection hidden="1"/>
    </xf>
    <xf numFmtId="165" fontId="46" fillId="10" borderId="0" xfId="0" applyFont="1" applyFill="1" applyAlignment="1" applyProtection="1">
      <alignment horizontal="left"/>
      <protection hidden="1"/>
    </xf>
    <xf numFmtId="165" fontId="5" fillId="5" borderId="88" xfId="0" applyFont="1" applyFill="1" applyBorder="1" applyAlignment="1" applyProtection="1">
      <alignment horizontal="left" vertical="center"/>
      <protection locked="0"/>
    </xf>
    <xf numFmtId="165" fontId="5" fillId="5" borderId="89" xfId="0" applyFont="1" applyFill="1" applyBorder="1" applyAlignment="1" applyProtection="1">
      <alignment horizontal="left" vertical="center"/>
      <protection locked="0"/>
    </xf>
    <xf numFmtId="165" fontId="45" fillId="3" borderId="9" xfId="0" applyFont="1" applyFill="1" applyBorder="1" applyAlignment="1" applyProtection="1">
      <alignment horizontal="left" vertical="center"/>
      <protection hidden="1"/>
    </xf>
    <xf numFmtId="165" fontId="34" fillId="4" borderId="7" xfId="0" applyFont="1" applyFill="1" applyBorder="1" applyAlignment="1" applyProtection="1">
      <alignment horizontal="center" vertical="center"/>
      <protection hidden="1"/>
    </xf>
    <xf numFmtId="165" fontId="41" fillId="4" borderId="57" xfId="0" applyFont="1" applyFill="1" applyBorder="1" applyAlignment="1" applyProtection="1">
      <alignment horizontal="left" vertical="center"/>
      <protection hidden="1"/>
    </xf>
    <xf numFmtId="165" fontId="41" fillId="4" borderId="58" xfId="0" applyFont="1" applyFill="1" applyBorder="1" applyAlignment="1" applyProtection="1">
      <alignment horizontal="left" vertical="center"/>
      <protection hidden="1"/>
    </xf>
    <xf numFmtId="165" fontId="41" fillId="4" borderId="60" xfId="0" applyFont="1" applyFill="1" applyBorder="1" applyAlignment="1" applyProtection="1">
      <alignment horizontal="left" vertical="center"/>
      <protection hidden="1"/>
    </xf>
    <xf numFmtId="165" fontId="42" fillId="10" borderId="72" xfId="0" applyFont="1" applyFill="1" applyBorder="1" applyAlignment="1" applyProtection="1">
      <alignment horizontal="center" vertical="center"/>
      <protection hidden="1"/>
    </xf>
    <xf numFmtId="165" fontId="34" fillId="4" borderId="57" xfId="0" applyFont="1" applyFill="1" applyBorder="1" applyAlignment="1" applyProtection="1">
      <alignment horizontal="center" vertical="center"/>
      <protection hidden="1"/>
    </xf>
    <xf numFmtId="165" fontId="34" fillId="4" borderId="58" xfId="0" applyFont="1" applyFill="1" applyBorder="1" applyAlignment="1" applyProtection="1">
      <alignment horizontal="center" vertical="center"/>
      <protection hidden="1"/>
    </xf>
    <xf numFmtId="165" fontId="34" fillId="4" borderId="60" xfId="0" applyFont="1" applyFill="1" applyBorder="1" applyAlignment="1" applyProtection="1">
      <alignment horizontal="center" vertical="center"/>
      <protection hidden="1"/>
    </xf>
    <xf numFmtId="3" fontId="20" fillId="4" borderId="53" xfId="7" applyFont="1" applyFill="1" applyBorder="1" applyAlignment="1" applyProtection="1">
      <alignment horizontal="center" vertical="center" wrapText="1"/>
      <protection hidden="1"/>
    </xf>
    <xf numFmtId="3" fontId="20" fillId="4" borderId="52" xfId="7" applyFont="1" applyFill="1" applyBorder="1" applyAlignment="1" applyProtection="1">
      <alignment horizontal="center" vertical="center" wrapText="1"/>
      <protection hidden="1"/>
    </xf>
    <xf numFmtId="3" fontId="20" fillId="4" borderId="62" xfId="7" applyFont="1" applyFill="1" applyBorder="1" applyAlignment="1" applyProtection="1">
      <alignment horizontal="center" vertical="center" wrapText="1"/>
      <protection hidden="1"/>
    </xf>
    <xf numFmtId="3" fontId="20" fillId="4" borderId="56" xfId="7" applyFont="1" applyFill="1" applyBorder="1" applyAlignment="1" applyProtection="1">
      <alignment horizontal="center" vertical="center" wrapText="1"/>
      <protection hidden="1"/>
    </xf>
    <xf numFmtId="3" fontId="20" fillId="4" borderId="55" xfId="7" applyFont="1" applyFill="1" applyBorder="1" applyAlignment="1" applyProtection="1">
      <alignment horizontal="center" vertical="center" wrapText="1"/>
      <protection hidden="1"/>
    </xf>
    <xf numFmtId="3" fontId="20" fillId="4" borderId="63" xfId="7" applyFont="1" applyFill="1" applyBorder="1" applyAlignment="1" applyProtection="1">
      <alignment horizontal="center" vertical="center" wrapText="1"/>
      <protection hidden="1"/>
    </xf>
    <xf numFmtId="3" fontId="20" fillId="4" borderId="53" xfId="7" applyFont="1" applyFill="1" applyBorder="1" applyAlignment="1" applyProtection="1">
      <alignment horizontal="center" vertical="center"/>
      <protection hidden="1"/>
    </xf>
    <xf numFmtId="3" fontId="20" fillId="4" borderId="52" xfId="7" applyFont="1" applyFill="1" applyBorder="1" applyAlignment="1" applyProtection="1">
      <alignment horizontal="center" vertical="center"/>
      <protection hidden="1"/>
    </xf>
    <xf numFmtId="3" fontId="20" fillId="4" borderId="62" xfId="7" applyFont="1" applyFill="1" applyBorder="1" applyAlignment="1" applyProtection="1">
      <alignment horizontal="center" vertical="center"/>
      <protection hidden="1"/>
    </xf>
    <xf numFmtId="3" fontId="20" fillId="4" borderId="56" xfId="7" applyFont="1" applyFill="1" applyBorder="1" applyAlignment="1" applyProtection="1">
      <alignment horizontal="center" vertical="center"/>
      <protection hidden="1"/>
    </xf>
    <xf numFmtId="3" fontId="20" fillId="4" borderId="55" xfId="7" applyFont="1" applyFill="1" applyBorder="1" applyAlignment="1" applyProtection="1">
      <alignment horizontal="center" vertical="center"/>
      <protection hidden="1"/>
    </xf>
    <xf numFmtId="3" fontId="20" fillId="4" borderId="63" xfId="7" applyFont="1" applyFill="1" applyBorder="1" applyAlignment="1" applyProtection="1">
      <alignment horizontal="center" vertical="center"/>
      <protection hidden="1"/>
    </xf>
    <xf numFmtId="3" fontId="20" fillId="4" borderId="51" xfId="7" applyFont="1" applyFill="1" applyBorder="1" applyAlignment="1" applyProtection="1">
      <alignment horizontal="center" vertical="center" wrapText="1"/>
      <protection hidden="1"/>
    </xf>
    <xf numFmtId="3" fontId="20" fillId="4" borderId="54" xfId="7" applyFont="1" applyFill="1" applyBorder="1" applyAlignment="1" applyProtection="1">
      <alignment horizontal="center" vertical="center" wrapText="1"/>
      <protection hidden="1"/>
    </xf>
    <xf numFmtId="3" fontId="34" fillId="4" borderId="53" xfId="7" applyFont="1" applyFill="1" applyBorder="1" applyAlignment="1" applyProtection="1">
      <alignment horizontal="center" vertical="center"/>
      <protection hidden="1"/>
    </xf>
    <xf numFmtId="3" fontId="34" fillId="4" borderId="52" xfId="7" applyFont="1" applyFill="1" applyBorder="1" applyAlignment="1" applyProtection="1">
      <alignment horizontal="center" vertical="center"/>
      <protection hidden="1"/>
    </xf>
    <xf numFmtId="3" fontId="34" fillId="4" borderId="64" xfId="7" applyFont="1" applyFill="1" applyBorder="1" applyAlignment="1" applyProtection="1">
      <alignment horizontal="center" vertical="center"/>
      <protection hidden="1"/>
    </xf>
    <xf numFmtId="3" fontId="34" fillId="4" borderId="56" xfId="7" applyFont="1" applyFill="1" applyBorder="1" applyAlignment="1" applyProtection="1">
      <alignment horizontal="center" vertical="center"/>
      <protection hidden="1"/>
    </xf>
    <xf numFmtId="3" fontId="34" fillId="4" borderId="55" xfId="7" applyFont="1" applyFill="1" applyBorder="1" applyAlignment="1" applyProtection="1">
      <alignment horizontal="center" vertical="center"/>
      <protection hidden="1"/>
    </xf>
    <xf numFmtId="3" fontId="34" fillId="4" borderId="65" xfId="7" applyFont="1" applyFill="1" applyBorder="1" applyAlignment="1" applyProtection="1">
      <alignment horizontal="center" vertical="center"/>
      <protection hidden="1"/>
    </xf>
    <xf numFmtId="4" fontId="6" fillId="3" borderId="41" xfId="10" applyNumberFormat="1" applyFont="1" applyFill="1" applyBorder="1" applyAlignment="1" applyProtection="1">
      <alignment horizontal="center" vertical="center"/>
      <protection hidden="1"/>
    </xf>
    <xf numFmtId="4" fontId="6" fillId="3" borderId="4" xfId="10" applyNumberFormat="1" applyFont="1" applyFill="1" applyBorder="1" applyAlignment="1" applyProtection="1">
      <alignment horizontal="center" vertical="center"/>
      <protection hidden="1"/>
    </xf>
    <xf numFmtId="4" fontId="6" fillId="3" borderId="42" xfId="10" applyNumberFormat="1" applyFont="1" applyFill="1" applyBorder="1" applyAlignment="1" applyProtection="1">
      <alignment horizontal="center" vertical="center"/>
      <protection hidden="1"/>
    </xf>
    <xf numFmtId="3" fontId="13" fillId="3" borderId="3" xfId="7" applyFont="1" applyFill="1" applyBorder="1" applyAlignment="1" applyProtection="1">
      <alignment horizontal="center" vertical="center" wrapText="1"/>
      <protection hidden="1"/>
    </xf>
    <xf numFmtId="3" fontId="13" fillId="3" borderId="4" xfId="7" applyFont="1" applyFill="1" applyBorder="1" applyAlignment="1" applyProtection="1">
      <alignment horizontal="center" vertical="center" wrapText="1"/>
      <protection hidden="1"/>
    </xf>
    <xf numFmtId="3" fontId="5" fillId="3" borderId="0" xfId="7" applyFont="1" applyFill="1" applyBorder="1" applyAlignment="1" applyProtection="1">
      <alignment horizontal="left" vertical="center" wrapText="1"/>
      <protection hidden="1"/>
    </xf>
    <xf numFmtId="3" fontId="5" fillId="3" borderId="15" xfId="7" applyFont="1" applyFill="1" applyBorder="1" applyAlignment="1" applyProtection="1">
      <alignment horizontal="left" vertical="center" wrapText="1"/>
      <protection hidden="1"/>
    </xf>
    <xf numFmtId="3" fontId="34" fillId="4" borderId="57" xfId="7" applyFont="1" applyFill="1" applyBorder="1" applyAlignment="1" applyProtection="1">
      <alignment horizontal="center" vertical="center" wrapText="1"/>
      <protection hidden="1"/>
    </xf>
    <xf numFmtId="3" fontId="34" fillId="4" borderId="58" xfId="7" applyFont="1" applyFill="1" applyBorder="1" applyAlignment="1" applyProtection="1">
      <alignment horizontal="center" vertical="center" wrapText="1"/>
      <protection hidden="1"/>
    </xf>
    <xf numFmtId="3" fontId="34" fillId="4" borderId="60" xfId="7" applyFont="1" applyFill="1" applyBorder="1" applyAlignment="1" applyProtection="1">
      <alignment horizontal="center" vertical="center" wrapText="1"/>
      <protection hidden="1"/>
    </xf>
    <xf numFmtId="3" fontId="34" fillId="4" borderId="57" xfId="7" applyFont="1" applyFill="1" applyBorder="1" applyAlignment="1" applyProtection="1">
      <alignment horizontal="center" vertical="center"/>
      <protection hidden="1"/>
    </xf>
    <xf numFmtId="3" fontId="34" fillId="4" borderId="58" xfId="7" applyFont="1" applyFill="1" applyBorder="1" applyAlignment="1" applyProtection="1">
      <alignment horizontal="center" vertical="center"/>
      <protection hidden="1"/>
    </xf>
    <xf numFmtId="3" fontId="34" fillId="4" borderId="60" xfId="7" applyFont="1" applyFill="1" applyBorder="1" applyAlignment="1" applyProtection="1">
      <alignment horizontal="center" vertical="center"/>
      <protection hidden="1"/>
    </xf>
    <xf numFmtId="165" fontId="42" fillId="10" borderId="0" xfId="0" applyFont="1" applyFill="1" applyAlignment="1" applyProtection="1">
      <alignment horizontal="left" vertical="center"/>
      <protection hidden="1"/>
    </xf>
    <xf numFmtId="165" fontId="43" fillId="3" borderId="0" xfId="0" applyFont="1" applyFill="1" applyBorder="1" applyAlignment="1" applyProtection="1">
      <alignment horizontal="left" vertical="center"/>
      <protection hidden="1"/>
    </xf>
    <xf numFmtId="165" fontId="43" fillId="3" borderId="72" xfId="0" applyFont="1" applyFill="1" applyBorder="1" applyAlignment="1" applyProtection="1">
      <alignment horizontal="left" vertical="center"/>
      <protection hidden="1"/>
    </xf>
    <xf numFmtId="3" fontId="34" fillId="4" borderId="57" xfId="9" applyFont="1" applyFill="1" applyBorder="1" applyAlignment="1" applyProtection="1">
      <alignment horizontal="left" vertical="center" wrapText="1"/>
      <protection hidden="1"/>
    </xf>
    <xf numFmtId="3" fontId="34" fillId="4" borderId="60" xfId="9" applyFont="1" applyFill="1" applyBorder="1" applyAlignment="1" applyProtection="1">
      <alignment horizontal="left" vertical="center" wrapText="1"/>
      <protection hidden="1"/>
    </xf>
    <xf numFmtId="3" fontId="34" fillId="4" borderId="22" xfId="9" applyFont="1" applyFill="1" applyBorder="1" applyAlignment="1" applyProtection="1">
      <alignment horizontal="center" vertical="center" wrapText="1"/>
      <protection hidden="1"/>
    </xf>
    <xf numFmtId="3" fontId="34" fillId="4" borderId="20" xfId="9" applyFont="1" applyFill="1" applyBorder="1" applyAlignment="1" applyProtection="1">
      <alignment horizontal="center" vertical="center" wrapText="1"/>
      <protection hidden="1"/>
    </xf>
    <xf numFmtId="3" fontId="4" fillId="3" borderId="26" xfId="9" applyFont="1" applyFill="1" applyBorder="1" applyAlignment="1" applyProtection="1">
      <alignment horizontal="center" vertical="center" wrapText="1"/>
      <protection hidden="1"/>
    </xf>
    <xf numFmtId="3" fontId="4" fillId="3" borderId="27" xfId="9" applyFont="1" applyFill="1" applyBorder="1" applyAlignment="1" applyProtection="1">
      <alignment horizontal="center" vertical="center" wrapText="1"/>
      <protection hidden="1"/>
    </xf>
    <xf numFmtId="3" fontId="4" fillId="3" borderId="23" xfId="9" applyFont="1" applyFill="1" applyBorder="1" applyAlignment="1" applyProtection="1">
      <alignment horizontal="center" vertical="center" wrapText="1"/>
      <protection hidden="1"/>
    </xf>
    <xf numFmtId="3" fontId="4" fillId="3" borderId="9" xfId="9" applyFont="1" applyFill="1" applyBorder="1" applyAlignment="1" applyProtection="1">
      <alignment horizontal="center" vertical="center" wrapText="1"/>
      <protection hidden="1"/>
    </xf>
    <xf numFmtId="3" fontId="4" fillId="3" borderId="16" xfId="9" applyFont="1" applyFill="1" applyBorder="1" applyAlignment="1" applyProtection="1">
      <alignment horizontal="center" vertical="center" wrapText="1"/>
      <protection hidden="1"/>
    </xf>
    <xf numFmtId="3" fontId="4" fillId="3" borderId="33" xfId="9" applyFont="1" applyFill="1" applyBorder="1" applyAlignment="1" applyProtection="1">
      <alignment horizontal="center" vertical="center" wrapText="1"/>
      <protection hidden="1"/>
    </xf>
    <xf numFmtId="3" fontId="4" fillId="3" borderId="29" xfId="9" applyFont="1" applyFill="1" applyBorder="1" applyAlignment="1" applyProtection="1">
      <alignment horizontal="center" vertical="center" wrapText="1"/>
      <protection hidden="1"/>
    </xf>
    <xf numFmtId="3" fontId="4" fillId="3" borderId="30" xfId="9" applyFont="1" applyFill="1" applyBorder="1" applyAlignment="1" applyProtection="1">
      <alignment horizontal="center" vertical="center" wrapText="1"/>
      <protection hidden="1"/>
    </xf>
    <xf numFmtId="3" fontId="34" fillId="4" borderId="57" xfId="9" applyFont="1" applyFill="1" applyBorder="1" applyAlignment="1" applyProtection="1">
      <alignment horizontal="center" vertical="center" wrapText="1"/>
      <protection hidden="1"/>
    </xf>
    <xf numFmtId="3" fontId="34" fillId="4" borderId="60" xfId="9" applyFont="1" applyFill="1" applyBorder="1" applyAlignment="1" applyProtection="1">
      <alignment horizontal="center" vertical="center" wrapText="1"/>
      <protection hidden="1"/>
    </xf>
    <xf numFmtId="3" fontId="34" fillId="4" borderId="57" xfId="9" applyFont="1" applyFill="1" applyBorder="1" applyAlignment="1" applyProtection="1">
      <alignment horizontal="center" vertical="top" wrapText="1"/>
      <protection hidden="1"/>
    </xf>
    <xf numFmtId="3" fontId="34" fillId="4" borderId="60" xfId="9" applyFont="1" applyFill="1" applyBorder="1" applyAlignment="1" applyProtection="1">
      <alignment horizontal="center" vertical="top" wrapText="1"/>
      <protection hidden="1"/>
    </xf>
    <xf numFmtId="3" fontId="4" fillId="3" borderId="18" xfId="9" applyFont="1" applyFill="1" applyBorder="1" applyAlignment="1" applyProtection="1">
      <alignment horizontal="center" vertical="center" wrapText="1"/>
      <protection hidden="1"/>
    </xf>
    <xf numFmtId="3" fontId="4" fillId="3" borderId="19" xfId="9" applyFont="1" applyFill="1" applyBorder="1" applyAlignment="1" applyProtection="1">
      <alignment horizontal="center" vertical="center" wrapText="1"/>
      <protection hidden="1"/>
    </xf>
    <xf numFmtId="3" fontId="12" fillId="4" borderId="57" xfId="9" applyFont="1" applyFill="1" applyBorder="1" applyAlignment="1" applyProtection="1">
      <alignment horizontal="left" vertical="center" wrapText="1"/>
      <protection hidden="1"/>
    </xf>
    <xf numFmtId="3" fontId="12" fillId="4" borderId="58" xfId="9" applyFont="1" applyFill="1" applyBorder="1" applyAlignment="1" applyProtection="1">
      <alignment horizontal="left" vertical="center" wrapText="1"/>
      <protection hidden="1"/>
    </xf>
    <xf numFmtId="3" fontId="12" fillId="4" borderId="66" xfId="9" applyFont="1" applyFill="1" applyBorder="1" applyAlignment="1" applyProtection="1">
      <alignment horizontal="left" vertical="center" wrapText="1"/>
      <protection hidden="1"/>
    </xf>
    <xf numFmtId="3" fontId="20" fillId="4" borderId="18" xfId="9" applyFont="1" applyFill="1" applyBorder="1" applyAlignment="1" applyProtection="1">
      <alignment horizontal="center" vertical="center" wrapText="1"/>
      <protection hidden="1"/>
    </xf>
    <xf numFmtId="3" fontId="20" fillId="4" borderId="32" xfId="9" applyFont="1" applyFill="1" applyBorder="1" applyAlignment="1" applyProtection="1">
      <alignment horizontal="center" vertical="center" wrapText="1"/>
      <protection hidden="1"/>
    </xf>
    <xf numFmtId="3" fontId="20" fillId="4" borderId="19" xfId="9" applyFont="1" applyFill="1" applyBorder="1" applyAlignment="1" applyProtection="1">
      <alignment horizontal="center" vertical="center" wrapText="1"/>
      <protection hidden="1"/>
    </xf>
    <xf numFmtId="3" fontId="35" fillId="4" borderId="43" xfId="9" applyFont="1" applyFill="1" applyBorder="1" applyAlignment="1" applyProtection="1">
      <alignment horizontal="center" vertical="center" wrapText="1"/>
      <protection hidden="1"/>
    </xf>
    <xf numFmtId="3" fontId="35" fillId="4" borderId="69" xfId="9" applyFont="1" applyFill="1" applyBorder="1" applyAlignment="1" applyProtection="1">
      <alignment horizontal="center" vertical="center" wrapText="1"/>
      <protection hidden="1"/>
    </xf>
    <xf numFmtId="3" fontId="35" fillId="4" borderId="76" xfId="9" applyFont="1" applyFill="1" applyBorder="1" applyAlignment="1" applyProtection="1">
      <alignment horizontal="center" vertical="center" wrapText="1"/>
      <protection hidden="1"/>
    </xf>
    <xf numFmtId="3" fontId="13" fillId="3" borderId="16" xfId="9" applyFont="1" applyFill="1" applyBorder="1" applyAlignment="1" applyProtection="1">
      <alignment horizontal="right" vertical="center" wrapText="1"/>
      <protection hidden="1"/>
    </xf>
    <xf numFmtId="3" fontId="13" fillId="3" borderId="33" xfId="9" applyFont="1" applyFill="1" applyBorder="1" applyAlignment="1" applyProtection="1">
      <alignment horizontal="right" vertical="center" wrapText="1"/>
      <protection hidden="1"/>
    </xf>
    <xf numFmtId="3" fontId="13" fillId="3" borderId="18" xfId="9" applyFont="1" applyFill="1" applyBorder="1" applyAlignment="1" applyProtection="1">
      <alignment horizontal="center" vertical="center" wrapText="1"/>
      <protection hidden="1"/>
    </xf>
    <xf numFmtId="3" fontId="13" fillId="3" borderId="19" xfId="9" applyFont="1" applyFill="1" applyBorder="1" applyAlignment="1" applyProtection="1">
      <alignment horizontal="center" vertical="center" wrapText="1"/>
      <protection hidden="1"/>
    </xf>
    <xf numFmtId="3" fontId="13" fillId="3" borderId="23" xfId="9" applyFont="1" applyFill="1" applyBorder="1" applyAlignment="1" applyProtection="1">
      <alignment horizontal="right" vertical="center" wrapText="1"/>
      <protection hidden="1"/>
    </xf>
    <xf numFmtId="3" fontId="13" fillId="3" borderId="9" xfId="9" applyFont="1" applyFill="1" applyBorder="1" applyAlignment="1" applyProtection="1">
      <alignment horizontal="right" vertical="center" wrapText="1"/>
      <protection hidden="1"/>
    </xf>
    <xf numFmtId="3" fontId="12" fillId="4" borderId="57" xfId="6" applyFont="1" applyFill="1" applyBorder="1" applyAlignment="1" applyProtection="1">
      <alignment horizontal="left" vertical="center"/>
      <protection hidden="1"/>
    </xf>
    <xf numFmtId="3" fontId="12" fillId="4" borderId="58" xfId="6" applyFont="1" applyFill="1" applyBorder="1" applyAlignment="1" applyProtection="1">
      <alignment horizontal="left" vertical="center"/>
      <protection hidden="1"/>
    </xf>
    <xf numFmtId="3" fontId="12" fillId="4" borderId="66" xfId="6" applyFont="1" applyFill="1" applyBorder="1" applyAlignment="1" applyProtection="1">
      <alignment horizontal="left" vertical="center"/>
      <protection hidden="1"/>
    </xf>
    <xf numFmtId="3" fontId="34" fillId="4" borderId="73" xfId="6" applyFont="1" applyFill="1" applyBorder="1" applyAlignment="1" applyProtection="1">
      <alignment horizontal="center" vertical="center"/>
      <protection hidden="1"/>
    </xf>
    <xf numFmtId="3" fontId="34" fillId="4" borderId="69" xfId="6" applyFont="1" applyFill="1" applyBorder="1" applyAlignment="1" applyProtection="1">
      <alignment horizontal="center" vertical="center"/>
      <protection hidden="1"/>
    </xf>
    <xf numFmtId="3" fontId="34" fillId="4" borderId="76" xfId="6" applyFont="1" applyFill="1" applyBorder="1" applyAlignment="1" applyProtection="1">
      <alignment horizontal="center" vertical="center"/>
      <protection hidden="1"/>
    </xf>
    <xf numFmtId="3" fontId="34" fillId="4" borderId="70" xfId="6" applyFont="1" applyFill="1" applyBorder="1" applyAlignment="1" applyProtection="1">
      <alignment horizontal="center" vertical="center"/>
      <protection hidden="1"/>
    </xf>
    <xf numFmtId="165" fontId="34" fillId="4" borderId="20" xfId="0" applyFont="1" applyFill="1" applyBorder="1" applyAlignment="1" applyProtection="1">
      <alignment horizontal="center" vertical="center"/>
      <protection hidden="1"/>
    </xf>
    <xf numFmtId="165" fontId="34" fillId="4" borderId="59" xfId="0" applyFont="1" applyFill="1" applyBorder="1" applyAlignment="1" applyProtection="1">
      <alignment horizontal="center" vertical="center"/>
      <protection hidden="1"/>
    </xf>
    <xf numFmtId="165" fontId="34" fillId="4" borderId="21" xfId="0" applyFont="1" applyFill="1" applyBorder="1" applyAlignment="1" applyProtection="1">
      <alignment horizontal="center" vertical="center"/>
      <protection hidden="1"/>
    </xf>
    <xf numFmtId="3" fontId="41" fillId="4" borderId="57" xfId="6" applyFont="1" applyFill="1" applyBorder="1" applyAlignment="1" applyProtection="1">
      <alignment horizontal="left" vertical="center"/>
      <protection hidden="1"/>
    </xf>
    <xf numFmtId="3" fontId="41" fillId="4" borderId="58" xfId="6" applyFont="1" applyFill="1" applyBorder="1" applyAlignment="1" applyProtection="1">
      <alignment horizontal="left" vertical="center"/>
      <protection hidden="1"/>
    </xf>
    <xf numFmtId="3" fontId="41" fillId="4" borderId="66" xfId="6" applyFont="1" applyFill="1" applyBorder="1" applyAlignment="1" applyProtection="1">
      <alignment horizontal="left" vertical="center"/>
      <protection hidden="1"/>
    </xf>
    <xf numFmtId="3" fontId="34" fillId="4" borderId="59" xfId="6" applyFont="1" applyFill="1" applyBorder="1" applyAlignment="1" applyProtection="1">
      <alignment horizontal="center" vertical="center"/>
      <protection hidden="1"/>
    </xf>
    <xf numFmtId="3" fontId="34" fillId="4" borderId="60" xfId="6" applyFont="1" applyFill="1" applyBorder="1" applyAlignment="1" applyProtection="1">
      <alignment horizontal="center" vertical="center"/>
      <protection hidden="1"/>
    </xf>
    <xf numFmtId="3" fontId="34" fillId="4" borderId="66" xfId="6" applyFont="1" applyFill="1" applyBorder="1" applyAlignment="1" applyProtection="1">
      <alignment horizontal="center" vertical="center"/>
      <protection hidden="1"/>
    </xf>
    <xf numFmtId="3" fontId="34" fillId="4" borderId="11" xfId="6" applyFont="1" applyFill="1" applyBorder="1" applyAlignment="1" applyProtection="1">
      <alignment horizontal="center" vertical="center"/>
      <protection hidden="1"/>
    </xf>
    <xf numFmtId="3" fontId="34" fillId="4" borderId="13" xfId="6" applyFont="1" applyFill="1" applyBorder="1" applyAlignment="1" applyProtection="1">
      <alignment horizontal="center" vertical="center"/>
      <protection hidden="1"/>
    </xf>
    <xf numFmtId="3" fontId="34" fillId="4" borderId="14" xfId="6" applyFont="1" applyFill="1" applyBorder="1" applyAlignment="1" applyProtection="1">
      <alignment horizontal="center" vertical="center"/>
      <protection hidden="1"/>
    </xf>
    <xf numFmtId="165" fontId="12" fillId="4" borderId="57" xfId="0" applyFont="1" applyFill="1" applyBorder="1" applyAlignment="1" applyProtection="1">
      <alignment horizontal="left" vertical="center"/>
      <protection hidden="1"/>
    </xf>
    <xf numFmtId="165" fontId="41" fillId="4" borderId="66" xfId="0" applyFont="1" applyFill="1" applyBorder="1" applyAlignment="1" applyProtection="1">
      <alignment horizontal="left" vertical="center"/>
      <protection hidden="1"/>
    </xf>
    <xf numFmtId="165" fontId="34" fillId="4" borderId="11" xfId="0" applyFont="1" applyFill="1" applyBorder="1" applyAlignment="1" applyProtection="1">
      <alignment horizontal="center" vertical="center"/>
      <protection hidden="1"/>
    </xf>
    <xf numFmtId="165" fontId="34" fillId="4" borderId="12" xfId="0" applyFont="1" applyFill="1" applyBorder="1" applyAlignment="1" applyProtection="1">
      <alignment horizontal="center" vertical="center"/>
      <protection hidden="1"/>
    </xf>
    <xf numFmtId="165" fontId="34" fillId="4" borderId="13" xfId="0" applyFont="1" applyFill="1" applyBorder="1" applyAlignment="1" applyProtection="1">
      <alignment horizontal="center" vertical="center"/>
      <protection hidden="1"/>
    </xf>
    <xf numFmtId="165" fontId="34" fillId="4" borderId="14" xfId="0" applyFont="1" applyFill="1" applyBorder="1" applyAlignment="1" applyProtection="1">
      <alignment horizontal="center" vertical="center"/>
      <protection hidden="1"/>
    </xf>
    <xf numFmtId="165" fontId="11" fillId="3" borderId="11" xfId="0" applyFont="1" applyFill="1" applyBorder="1" applyAlignment="1" applyProtection="1">
      <alignment horizontal="center" vertical="center"/>
      <protection hidden="1"/>
    </xf>
    <xf numFmtId="165" fontId="11" fillId="3" borderId="12" xfId="0" applyFont="1" applyFill="1" applyBorder="1" applyAlignment="1" applyProtection="1">
      <alignment horizontal="center" vertical="center"/>
      <protection hidden="1"/>
    </xf>
    <xf numFmtId="165" fontId="11" fillId="3" borderId="13" xfId="0" applyFont="1" applyFill="1" applyBorder="1" applyAlignment="1" applyProtection="1">
      <alignment horizontal="center" vertical="center"/>
      <protection hidden="1"/>
    </xf>
    <xf numFmtId="165" fontId="11" fillId="3" borderId="14" xfId="0" applyFont="1" applyFill="1" applyBorder="1" applyAlignment="1" applyProtection="1">
      <alignment horizontal="center" vertical="center"/>
      <protection hidden="1"/>
    </xf>
    <xf numFmtId="165" fontId="34" fillId="4" borderId="10" xfId="0" applyFont="1" applyFill="1" applyBorder="1" applyAlignment="1" applyProtection="1">
      <alignment horizontal="center" vertical="center" wrapText="1"/>
      <protection hidden="1"/>
    </xf>
    <xf numFmtId="165" fontId="34" fillId="4" borderId="12" xfId="0" applyFont="1" applyFill="1" applyBorder="1" applyAlignment="1" applyProtection="1">
      <alignment horizontal="center" vertical="center" wrapText="1"/>
      <protection hidden="1"/>
    </xf>
    <xf numFmtId="165" fontId="34" fillId="4" borderId="13" xfId="0" applyFont="1" applyFill="1" applyBorder="1" applyAlignment="1" applyProtection="1">
      <alignment horizontal="center" vertical="center" wrapText="1"/>
      <protection hidden="1"/>
    </xf>
    <xf numFmtId="165" fontId="34" fillId="4" borderId="6" xfId="0" applyFont="1" applyFill="1" applyBorder="1" applyAlignment="1" applyProtection="1">
      <alignment horizontal="center" vertical="center" wrapText="1"/>
      <protection hidden="1"/>
    </xf>
    <xf numFmtId="165" fontId="34" fillId="4" borderId="7" xfId="0" applyFont="1" applyFill="1" applyBorder="1" applyAlignment="1" applyProtection="1">
      <alignment horizontal="center" vertical="center" wrapText="1"/>
      <protection hidden="1"/>
    </xf>
    <xf numFmtId="165" fontId="34" fillId="4" borderId="24" xfId="0" applyFont="1" applyFill="1" applyBorder="1" applyAlignment="1" applyProtection="1">
      <alignment horizontal="center" vertical="center" wrapText="1"/>
      <protection hidden="1"/>
    </xf>
    <xf numFmtId="165" fontId="34" fillId="4" borderId="3" xfId="0" applyFont="1" applyFill="1" applyBorder="1" applyAlignment="1" applyProtection="1">
      <alignment horizontal="left" vertical="center"/>
      <protection hidden="1"/>
    </xf>
    <xf numFmtId="165" fontId="34" fillId="4" borderId="4" xfId="0" applyFont="1" applyFill="1" applyBorder="1" applyAlignment="1" applyProtection="1">
      <alignment horizontal="left" vertical="center"/>
      <protection hidden="1"/>
    </xf>
    <xf numFmtId="165" fontId="5" fillId="3" borderId="55" xfId="0" applyFont="1" applyFill="1" applyBorder="1" applyAlignment="1" applyProtection="1">
      <alignment horizontal="right" vertical="center"/>
      <protection hidden="1"/>
    </xf>
    <xf numFmtId="165" fontId="5" fillId="3" borderId="63" xfId="0" applyFont="1" applyFill="1" applyBorder="1" applyAlignment="1" applyProtection="1">
      <alignment horizontal="right" vertical="center"/>
      <protection hidden="1"/>
    </xf>
    <xf numFmtId="165" fontId="34" fillId="4" borderId="17" xfId="0" applyFont="1" applyFill="1" applyBorder="1" applyAlignment="1" applyProtection="1">
      <alignment horizontal="right" vertical="center"/>
      <protection hidden="1"/>
    </xf>
    <xf numFmtId="165" fontId="34" fillId="4" borderId="24" xfId="0" applyFont="1" applyFill="1" applyBorder="1" applyAlignment="1" applyProtection="1">
      <alignment horizontal="right" vertical="center"/>
      <protection hidden="1"/>
    </xf>
    <xf numFmtId="165" fontId="5" fillId="3" borderId="52" xfId="0" applyFont="1" applyFill="1" applyBorder="1" applyAlignment="1" applyProtection="1">
      <alignment horizontal="right" vertical="center"/>
      <protection hidden="1"/>
    </xf>
    <xf numFmtId="165" fontId="5" fillId="3" borderId="62" xfId="0" applyFont="1" applyFill="1" applyBorder="1" applyAlignment="1" applyProtection="1">
      <alignment horizontal="right" vertical="center"/>
      <protection hidden="1"/>
    </xf>
    <xf numFmtId="165" fontId="34" fillId="4" borderId="11" xfId="0" applyFont="1" applyFill="1" applyBorder="1" applyAlignment="1" applyProtection="1">
      <alignment horizontal="center" vertical="center" wrapText="1"/>
      <protection hidden="1"/>
    </xf>
    <xf numFmtId="165" fontId="5" fillId="3" borderId="0" xfId="0" applyFont="1" applyFill="1" applyBorder="1" applyAlignment="1" applyProtection="1">
      <alignment horizontal="left" vertical="center" wrapText="1"/>
      <protection hidden="1"/>
    </xf>
    <xf numFmtId="165" fontId="5" fillId="3" borderId="15" xfId="0" applyFont="1" applyFill="1" applyBorder="1" applyAlignment="1" applyProtection="1">
      <alignment horizontal="left" vertical="center" wrapText="1"/>
      <protection hidden="1"/>
    </xf>
    <xf numFmtId="165" fontId="5" fillId="3" borderId="72" xfId="0" applyFont="1" applyFill="1" applyBorder="1" applyAlignment="1" applyProtection="1">
      <alignment horizontal="left" vertical="center" wrapText="1"/>
      <protection hidden="1"/>
    </xf>
    <xf numFmtId="165" fontId="5" fillId="3" borderId="61" xfId="0" applyFont="1" applyFill="1" applyBorder="1" applyAlignment="1" applyProtection="1">
      <alignment horizontal="left" vertical="center" wrapText="1"/>
      <protection hidden="1"/>
    </xf>
    <xf numFmtId="165" fontId="7" fillId="3" borderId="18" xfId="0" applyFont="1" applyFill="1" applyBorder="1" applyAlignment="1" applyProtection="1">
      <alignment horizontal="center" vertical="center"/>
      <protection hidden="1"/>
    </xf>
    <xf numFmtId="165" fontId="7" fillId="3" borderId="19" xfId="0" applyFont="1" applyFill="1" applyBorder="1" applyAlignment="1" applyProtection="1">
      <alignment horizontal="center" vertical="center"/>
      <protection hidden="1"/>
    </xf>
    <xf numFmtId="165" fontId="7" fillId="3" borderId="32" xfId="0" applyFont="1" applyFill="1" applyBorder="1" applyAlignment="1" applyProtection="1">
      <alignment horizontal="center" vertical="center"/>
      <protection hidden="1"/>
    </xf>
    <xf numFmtId="165" fontId="7" fillId="3" borderId="90" xfId="0" applyFont="1" applyFill="1" applyBorder="1" applyAlignment="1" applyProtection="1">
      <alignment horizontal="center" vertical="center"/>
      <protection hidden="1"/>
    </xf>
    <xf numFmtId="165" fontId="7" fillId="3" borderId="35" xfId="0" applyFont="1" applyFill="1" applyBorder="1" applyAlignment="1" applyProtection="1">
      <alignment horizontal="center" vertical="center"/>
      <protection hidden="1"/>
    </xf>
    <xf numFmtId="165" fontId="7" fillId="3" borderId="13" xfId="0" applyFont="1" applyFill="1" applyBorder="1" applyAlignment="1" applyProtection="1">
      <alignment horizontal="center" vertical="center"/>
      <protection hidden="1"/>
    </xf>
    <xf numFmtId="165" fontId="34" fillId="4" borderId="10" xfId="0" applyFont="1" applyFill="1" applyBorder="1" applyAlignment="1" applyProtection="1">
      <alignment horizontal="left" vertical="center"/>
      <protection hidden="1"/>
    </xf>
    <xf numFmtId="165" fontId="34" fillId="4" borderId="12" xfId="0" applyFont="1" applyFill="1" applyBorder="1" applyAlignment="1" applyProtection="1">
      <alignment horizontal="left" vertical="center"/>
      <protection hidden="1"/>
    </xf>
    <xf numFmtId="165" fontId="11" fillId="3" borderId="3" xfId="0" applyFont="1" applyFill="1" applyBorder="1" applyAlignment="1" applyProtection="1">
      <alignment horizontal="center" vertical="center"/>
      <protection hidden="1"/>
    </xf>
    <xf numFmtId="165" fontId="11" fillId="3" borderId="4" xfId="0" applyFont="1" applyFill="1" applyBorder="1" applyAlignment="1" applyProtection="1">
      <alignment horizontal="center" vertical="center"/>
      <protection hidden="1"/>
    </xf>
    <xf numFmtId="165" fontId="11" fillId="3" borderId="42" xfId="0" applyFont="1" applyFill="1" applyBorder="1" applyAlignment="1" applyProtection="1">
      <alignment horizontal="center" vertical="center"/>
      <protection hidden="1"/>
    </xf>
    <xf numFmtId="165" fontId="5" fillId="3" borderId="52" xfId="0" applyFont="1" applyFill="1" applyBorder="1" applyAlignment="1" applyProtection="1">
      <alignment horizontal="left" vertical="center" wrapText="1"/>
      <protection hidden="1"/>
    </xf>
    <xf numFmtId="165" fontId="5" fillId="3" borderId="62" xfId="0" applyFont="1" applyFill="1" applyBorder="1" applyAlignment="1" applyProtection="1">
      <alignment horizontal="left" vertical="center" wrapText="1"/>
      <protection hidden="1"/>
    </xf>
    <xf numFmtId="165" fontId="34" fillId="4" borderId="22" xfId="0" applyFont="1" applyFill="1" applyBorder="1" applyAlignment="1" applyProtection="1">
      <alignment horizontal="center" vertical="center"/>
      <protection hidden="1"/>
    </xf>
    <xf numFmtId="165" fontId="34" fillId="4" borderId="22" xfId="0" applyFont="1" applyFill="1" applyBorder="1" applyAlignment="1" applyProtection="1">
      <alignment horizontal="center" vertical="center" wrapText="1"/>
      <protection hidden="1"/>
    </xf>
    <xf numFmtId="165" fontId="34" fillId="4" borderId="20" xfId="0" applyFont="1" applyFill="1" applyBorder="1" applyAlignment="1" applyProtection="1">
      <alignment horizontal="center" vertical="center" wrapText="1"/>
      <protection hidden="1"/>
    </xf>
    <xf numFmtId="165" fontId="34" fillId="4" borderId="6" xfId="0" applyFont="1" applyFill="1" applyBorder="1" applyAlignment="1" applyProtection="1">
      <alignment horizontal="center" vertical="center"/>
      <protection hidden="1"/>
    </xf>
    <xf numFmtId="165" fontId="35" fillId="4" borderId="58" xfId="0" applyFont="1" applyFill="1" applyBorder="1" applyAlignment="1" applyProtection="1">
      <alignment horizontal="center" vertical="center"/>
      <protection hidden="1"/>
    </xf>
    <xf numFmtId="165" fontId="35" fillId="4" borderId="66" xfId="0" applyFont="1" applyFill="1" applyBorder="1" applyAlignment="1" applyProtection="1">
      <alignment horizontal="center" vertical="center"/>
      <protection hidden="1"/>
    </xf>
    <xf numFmtId="165" fontId="35" fillId="4" borderId="59" xfId="0" applyFont="1" applyFill="1" applyBorder="1" applyAlignment="1" applyProtection="1">
      <alignment horizontal="center" vertical="center"/>
      <protection hidden="1"/>
    </xf>
    <xf numFmtId="165" fontId="35" fillId="4" borderId="60" xfId="0" applyFont="1" applyFill="1" applyBorder="1" applyAlignment="1" applyProtection="1">
      <alignment horizontal="center" vertical="center"/>
      <protection hidden="1"/>
    </xf>
    <xf numFmtId="165" fontId="12" fillId="4" borderId="58" xfId="0" applyFont="1" applyFill="1" applyBorder="1" applyAlignment="1" applyProtection="1">
      <alignment horizontal="left" vertical="center"/>
      <protection hidden="1"/>
    </xf>
    <xf numFmtId="165" fontId="12" fillId="4" borderId="66" xfId="0" applyFont="1" applyFill="1" applyBorder="1" applyAlignment="1" applyProtection="1">
      <alignment horizontal="left" vertical="center"/>
      <protection hidden="1"/>
    </xf>
    <xf numFmtId="165" fontId="40" fillId="4" borderId="30" xfId="0" applyFont="1" applyFill="1" applyBorder="1" applyAlignment="1" applyProtection="1">
      <alignment horizontal="left" vertical="center"/>
    </xf>
    <xf numFmtId="165" fontId="40" fillId="4" borderId="27" xfId="0" applyFont="1" applyFill="1" applyBorder="1" applyAlignment="1" applyProtection="1">
      <alignment horizontal="left" vertical="center"/>
    </xf>
    <xf numFmtId="1" fontId="40" fillId="4" borderId="30" xfId="0" applyNumberFormat="1" applyFont="1" applyFill="1" applyBorder="1" applyAlignment="1" applyProtection="1">
      <alignment horizontal="center" vertical="center"/>
    </xf>
    <xf numFmtId="1" fontId="40" fillId="4" borderId="27" xfId="0" applyNumberFormat="1" applyFont="1" applyFill="1" applyBorder="1" applyAlignment="1" applyProtection="1">
      <alignment horizontal="center" vertical="center"/>
    </xf>
    <xf numFmtId="169" fontId="34" fillId="4" borderId="57" xfId="0" applyNumberFormat="1" applyFont="1" applyFill="1" applyBorder="1" applyAlignment="1" applyProtection="1">
      <alignment horizontal="center" vertical="center"/>
      <protection hidden="1"/>
    </xf>
    <xf numFmtId="169" fontId="34" fillId="4" borderId="58" xfId="0" applyNumberFormat="1" applyFont="1" applyFill="1" applyBorder="1" applyAlignment="1" applyProtection="1">
      <alignment horizontal="center" vertical="center"/>
      <protection hidden="1"/>
    </xf>
    <xf numFmtId="165" fontId="13" fillId="7" borderId="6" xfId="0" applyFont="1" applyFill="1" applyBorder="1" applyAlignment="1" applyProtection="1">
      <alignment horizontal="left" vertical="center"/>
      <protection hidden="1"/>
    </xf>
    <xf numFmtId="165" fontId="13" fillId="7" borderId="24" xfId="0" applyFont="1" applyFill="1" applyBorder="1" applyAlignment="1" applyProtection="1">
      <alignment horizontal="left" vertical="center"/>
      <protection hidden="1"/>
    </xf>
    <xf numFmtId="9" fontId="34" fillId="4" borderId="73" xfId="10" applyFont="1" applyFill="1" applyBorder="1" applyAlignment="1" applyProtection="1">
      <alignment horizontal="center" vertical="center"/>
      <protection hidden="1"/>
    </xf>
    <xf numFmtId="9" fontId="34" fillId="4" borderId="70" xfId="10" applyFont="1" applyFill="1" applyBorder="1" applyAlignment="1" applyProtection="1">
      <alignment horizontal="center" vertical="center"/>
      <protection hidden="1"/>
    </xf>
    <xf numFmtId="9" fontId="34" fillId="4" borderId="76" xfId="10" applyFont="1" applyFill="1" applyBorder="1" applyAlignment="1" applyProtection="1">
      <alignment horizontal="center" vertical="center"/>
      <protection hidden="1"/>
    </xf>
    <xf numFmtId="168" fontId="41" fillId="4" borderId="57" xfId="0" applyNumberFormat="1" applyFont="1" applyFill="1" applyBorder="1" applyAlignment="1" applyProtection="1">
      <alignment horizontal="left" vertical="center"/>
      <protection hidden="1"/>
    </xf>
    <xf numFmtId="168" fontId="41" fillId="4" borderId="58" xfId="0" applyNumberFormat="1" applyFont="1" applyFill="1" applyBorder="1" applyAlignment="1" applyProtection="1">
      <alignment horizontal="left" vertical="center"/>
      <protection hidden="1"/>
    </xf>
    <xf numFmtId="3" fontId="11" fillId="6" borderId="4" xfId="5" applyNumberFormat="1" applyFont="1" applyFill="1" applyBorder="1" applyAlignment="1" applyProtection="1">
      <alignment horizontal="left" vertical="center"/>
      <protection hidden="1"/>
    </xf>
    <xf numFmtId="165" fontId="46" fillId="11" borderId="0" xfId="0" applyFont="1" applyFill="1" applyAlignment="1" applyProtection="1">
      <alignment horizontal="center" wrapText="1" readingOrder="1"/>
      <protection hidden="1"/>
    </xf>
    <xf numFmtId="165" fontId="0" fillId="0" borderId="0" xfId="0" applyAlignment="1">
      <alignment wrapText="1" readingOrder="1"/>
    </xf>
    <xf numFmtId="165" fontId="32" fillId="12" borderId="91" xfId="0" applyFont="1" applyFill="1" applyBorder="1" applyAlignment="1">
      <alignment wrapText="1"/>
    </xf>
    <xf numFmtId="165" fontId="0" fillId="0" borderId="91" xfId="0" applyBorder="1" applyAlignment="1">
      <alignment wrapText="1"/>
    </xf>
    <xf numFmtId="165" fontId="0" fillId="0" borderId="92" xfId="0" applyBorder="1" applyAlignment="1">
      <alignment wrapText="1"/>
    </xf>
    <xf numFmtId="165" fontId="29" fillId="12" borderId="84" xfId="0" applyFont="1" applyFill="1" applyBorder="1" applyAlignment="1">
      <alignment wrapText="1"/>
    </xf>
    <xf numFmtId="165" fontId="0" fillId="0" borderId="84" xfId="0" applyBorder="1" applyAlignment="1">
      <alignment wrapText="1"/>
    </xf>
    <xf numFmtId="165" fontId="0" fillId="0" borderId="93" xfId="0" applyBorder="1" applyAlignment="1">
      <alignment wrapText="1"/>
    </xf>
  </cellXfs>
  <cellStyles count="13">
    <cellStyle name="Millares" xfId="1" builtinId="3"/>
    <cellStyle name="Moneda" xfId="2" builtinId="4"/>
    <cellStyle name="Moneda_PRESTAMO.XLS" xfId="3"/>
    <cellStyle name="Normal" xfId="0" builtinId="0"/>
    <cellStyle name="Normal 2" xfId="4"/>
    <cellStyle name="Normal 3" xfId="5"/>
    <cellStyle name="Normal_GASTOS.XLS" xfId="6"/>
    <cellStyle name="Normal_INVERSIO.XLS" xfId="7"/>
    <cellStyle name="Normal_PRESTAMO.XLS" xfId="8"/>
    <cellStyle name="Normal_VENTAS.XLS" xfId="9"/>
    <cellStyle name="Porcentaje" xfId="10" builtinId="5"/>
    <cellStyle name="Porcentual_GASTOS.XLS" xfId="11"/>
    <cellStyle name="Porcentual_PRESTAMO.XLS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21573182641037E-2"/>
          <c:y val="3.5971349382269355E-2"/>
          <c:w val="0.85132093853262358"/>
          <c:h val="5.0359889135177097E-2"/>
        </c:manualLayout>
      </c:layout>
      <c:lineChart>
        <c:grouping val="standard"/>
        <c:varyColors val="0"/>
        <c:ser>
          <c:idx val="0"/>
          <c:order val="0"/>
          <c:tx>
            <c:strRef>
              <c:f>Ratios!$A$4</c:f>
              <c:strCache>
                <c:ptCount val="1"/>
                <c:pt idx="0">
                  <c:v>  Crecimiento de la Cifra de ventas (%)</c:v>
                </c:pt>
              </c:strCache>
            </c:strRef>
          </c:tx>
          <c:val>
            <c:numRef>
              <c:f>Ratios!$B$4:$F$4</c:f>
              <c:numCache>
                <c:formatCode>#,##0.00%;[Red]\(#,##0.00%\)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Ratios!$A$5</c:f>
              <c:strCache>
                <c:ptCount val="1"/>
                <c:pt idx="0">
                  <c:v>  Productividad (Ventas/Gastos de Personal)</c:v>
                </c:pt>
              </c:strCache>
            </c:strRef>
          </c:tx>
          <c:val>
            <c:numRef>
              <c:f>Ratios!$B$5:$F$5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Ratios!$A$6</c:f>
              <c:strCache>
                <c:ptCount val="1"/>
                <c:pt idx="0">
                  <c:v>  Crecimiento Valor Añadido (%)</c:v>
                </c:pt>
              </c:strCache>
            </c:strRef>
          </c:tx>
          <c:val>
            <c:numRef>
              <c:f>Ratios!$B$6:$F$6</c:f>
              <c:numCache>
                <c:formatCode>#,##0.00%;[Red]\(#,##0.00%\)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11872"/>
        <c:axId val="125713792"/>
      </c:lineChart>
      <c:catAx>
        <c:axId val="1257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5713792"/>
        <c:crosses val="autoZero"/>
        <c:auto val="1"/>
        <c:lblAlgn val="ctr"/>
        <c:lblOffset val="100"/>
        <c:noMultiLvlLbl val="0"/>
      </c:catAx>
      <c:valAx>
        <c:axId val="125713792"/>
        <c:scaling>
          <c:orientation val="minMax"/>
        </c:scaling>
        <c:delete val="0"/>
        <c:axPos val="l"/>
        <c:majorGridlines/>
        <c:numFmt formatCode="#,##0.00%;[Red]\(#,##0.00%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5711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422238587083088"/>
          <c:y val="3.5971223021582732E-2"/>
          <c:w val="0.2661875538938927"/>
          <c:h val="0.89928359674465153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09861899219452"/>
          <c:y val="6.6350864444943272E-2"/>
          <c:w val="0.82254389272307016"/>
          <c:h val="0.7393382038150822"/>
        </c:manualLayout>
      </c:layout>
      <c:lineChart>
        <c:grouping val="standard"/>
        <c:varyColors val="0"/>
        <c:ser>
          <c:idx val="0"/>
          <c:order val="0"/>
          <c:tx>
            <c:strRef>
              <c:f>Ratios!$A$8</c:f>
              <c:strCache>
                <c:ptCount val="1"/>
                <c:pt idx="0">
                  <c:v>  Rentabilidad económica (E.B.I.T./Activo)</c:v>
                </c:pt>
              </c:strCache>
            </c:strRef>
          </c:tx>
          <c:val>
            <c:numRef>
              <c:f>Ratios!$B$8:$F$8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Ratios!$A$9</c:f>
              <c:strCache>
                <c:ptCount val="1"/>
                <c:pt idx="0">
                  <c:v>  Rotación de activos (Ingresos/Activo)</c:v>
                </c:pt>
              </c:strCache>
            </c:strRef>
          </c:tx>
          <c:val>
            <c:numRef>
              <c:f>Ratios!$B$9:$F$9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Ratios!$A$10</c:f>
              <c:strCache>
                <c:ptCount val="1"/>
                <c:pt idx="0">
                  <c:v>  Margen sobre ventas (E.B.I.T./Ingresos)</c:v>
                </c:pt>
              </c:strCache>
            </c:strRef>
          </c:tx>
          <c:val>
            <c:numRef>
              <c:f>Ratios!$B$10:$F$10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Ratios!$A$11</c:f>
              <c:strCache>
                <c:ptCount val="1"/>
                <c:pt idx="0">
                  <c:v>  Rentabilidad financiera (B.A.T./Patrimonio Neto)</c:v>
                </c:pt>
              </c:strCache>
            </c:strRef>
          </c:tx>
          <c:val>
            <c:numRef>
              <c:f>Ratios!$B$11:$F$11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Ratios!$A$12</c:f>
              <c:strCache>
                <c:ptCount val="1"/>
                <c:pt idx="0">
                  <c:v>  Gastos financieros (%)</c:v>
                </c:pt>
              </c:strCache>
            </c:strRef>
          </c:tx>
          <c:val>
            <c:numRef>
              <c:f>Ratios!$B$12:$F$12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40928"/>
        <c:axId val="125743104"/>
      </c:lineChart>
      <c:catAx>
        <c:axId val="1257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5743104"/>
        <c:crosses val="autoZero"/>
        <c:auto val="1"/>
        <c:lblAlgn val="ctr"/>
        <c:lblOffset val="100"/>
        <c:noMultiLvlLbl val="0"/>
      </c:catAx>
      <c:valAx>
        <c:axId val="125743104"/>
        <c:scaling>
          <c:orientation val="minMax"/>
        </c:scaling>
        <c:delete val="0"/>
        <c:axPos val="l"/>
        <c:majorGridlines/>
        <c:numFmt formatCode="#,##0.00%;[Red]\(#,##0.00%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574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861087507946399"/>
          <c:y val="4.7393364928909949E-2"/>
          <c:w val="0.2517990646852597"/>
          <c:h val="0.81516786704979405"/>
        </c:manualLayout>
      </c:layout>
      <c:overlay val="0"/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0384615384615"/>
          <c:y val="6.6350864444943272E-2"/>
          <c:w val="0.82211538461538458"/>
          <c:h val="0.7393382038150822"/>
        </c:manualLayout>
      </c:layout>
      <c:lineChart>
        <c:grouping val="standard"/>
        <c:varyColors val="0"/>
        <c:ser>
          <c:idx val="0"/>
          <c:order val="0"/>
          <c:tx>
            <c:strRef>
              <c:f>Ratios!$A$14</c:f>
              <c:strCache>
                <c:ptCount val="1"/>
                <c:pt idx="0">
                  <c:v>  Rentabilidad económica (%)</c:v>
                </c:pt>
              </c:strCache>
            </c:strRef>
          </c:tx>
          <c:val>
            <c:numRef>
              <c:f>Ratios!$B$14:$F$14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Ratios!$A$15</c:f>
              <c:strCache>
                <c:ptCount val="1"/>
                <c:pt idx="0">
                  <c:v>  Rotación de activos</c:v>
                </c:pt>
              </c:strCache>
            </c:strRef>
          </c:tx>
          <c:val>
            <c:numRef>
              <c:f>Ratios!$B$15:$F$15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Ratios!$A$16</c:f>
              <c:strCache>
                <c:ptCount val="1"/>
                <c:pt idx="0">
                  <c:v>  Margen sobre ventas (%)</c:v>
                </c:pt>
              </c:strCache>
            </c:strRef>
          </c:tx>
          <c:val>
            <c:numRef>
              <c:f>Ratios!$B$16:$F$16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Ratios!$A$17</c:f>
              <c:strCache>
                <c:ptCount val="1"/>
                <c:pt idx="0">
                  <c:v>  Rentabilidad financiera (%)</c:v>
                </c:pt>
              </c:strCache>
            </c:strRef>
          </c:tx>
          <c:val>
            <c:numRef>
              <c:f>Ratios!$B$17:$F$17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Ratios!$A$18</c:f>
              <c:strCache>
                <c:ptCount val="1"/>
                <c:pt idx="0">
                  <c:v>  Gastos financieros (%)</c:v>
                </c:pt>
              </c:strCache>
            </c:strRef>
          </c:tx>
          <c:val>
            <c:numRef>
              <c:f>Ratios!$B$18:$F$18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13344"/>
        <c:axId val="125923712"/>
      </c:lineChart>
      <c:catAx>
        <c:axId val="1259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5923712"/>
        <c:crosses val="autoZero"/>
        <c:auto val="1"/>
        <c:lblAlgn val="ctr"/>
        <c:lblOffset val="100"/>
        <c:noMultiLvlLbl val="0"/>
      </c:catAx>
      <c:valAx>
        <c:axId val="125923712"/>
        <c:scaling>
          <c:orientation val="minMax"/>
        </c:scaling>
        <c:delete val="0"/>
        <c:axPos val="l"/>
        <c:majorGridlines/>
        <c:numFmt formatCode="#,##0.00%;[Red]\(#,##0.00%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591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40384615384615"/>
          <c:y val="9.9526066350710901E-2"/>
          <c:w val="0.23798076923076927"/>
          <c:h val="0.72038063962383847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36875976272059E-2"/>
          <c:y val="4.1800643086816719E-2"/>
          <c:w val="0.87050563573899253"/>
          <c:h val="0.82636655948553051"/>
        </c:manualLayout>
      </c:layout>
      <c:lineChart>
        <c:grouping val="standard"/>
        <c:varyColors val="0"/>
        <c:ser>
          <c:idx val="0"/>
          <c:order val="0"/>
          <c:tx>
            <c:strRef>
              <c:f>Ratios!$A$20</c:f>
              <c:strCache>
                <c:ptCount val="1"/>
                <c:pt idx="0">
                  <c:v>  Fondo de rotación</c:v>
                </c:pt>
              </c:strCache>
            </c:strRef>
          </c:tx>
          <c:val>
            <c:numRef>
              <c:f>Ratios!$B$20:$F$20</c:f>
              <c:numCache>
                <c:formatCode>#,##0" días";[Red]\(#,##0" días"\)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Ratios!$A$21</c:f>
              <c:strCache>
                <c:ptCount val="1"/>
                <c:pt idx="0">
                  <c:v>  Fondo de maniobra</c:v>
                </c:pt>
              </c:strCache>
            </c:strRef>
          </c:tx>
          <c:val>
            <c:numRef>
              <c:f>Ratios!$B$21:$F$21</c:f>
              <c:numCache>
                <c:formatCode>#,##0" días";[Red]\(#,##0" días"\)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Ratios!$A$22</c:f>
              <c:strCache>
                <c:ptCount val="1"/>
                <c:pt idx="0">
                  <c:v>  Tesorería</c:v>
                </c:pt>
              </c:strCache>
            </c:strRef>
          </c:tx>
          <c:val>
            <c:numRef>
              <c:f>Ratios!$B$22:$F$22</c:f>
              <c:numCache>
                <c:formatCode>#,##0" días";[Red]\(#,##0" días"\)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Ratios!$A$23</c:f>
              <c:strCache>
                <c:ptCount val="1"/>
                <c:pt idx="0">
                  <c:v>  Existencias comerciales</c:v>
                </c:pt>
              </c:strCache>
            </c:strRef>
          </c:tx>
          <c:val>
            <c:numRef>
              <c:f>Ratios!$B$23:$F$23</c:f>
              <c:numCache>
                <c:formatCode>#,##0" días";[Red]\(#,##0" días"\)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Ratios!$A$24</c:f>
              <c:strCache>
                <c:ptCount val="1"/>
                <c:pt idx="0">
                  <c:v>  Existencias M. P.</c:v>
                </c:pt>
              </c:strCache>
            </c:strRef>
          </c:tx>
          <c:val>
            <c:numRef>
              <c:f>Ratios!$B$24:$F$24</c:f>
              <c:numCache>
                <c:formatCode>#,##0" días";[Red]\(#,##0" días"\)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Ratios!$A$25</c:f>
              <c:strCache>
                <c:ptCount val="1"/>
                <c:pt idx="0">
                  <c:v>  Existencias P.T.</c:v>
                </c:pt>
              </c:strCache>
            </c:strRef>
          </c:tx>
          <c:val>
            <c:numRef>
              <c:f>Ratios!$B$25:$F$25</c:f>
              <c:numCache>
                <c:formatCode>#,##0" días";[Red]\(#,##0" días"\)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Ratios!$A$26</c:f>
              <c:strCache>
                <c:ptCount val="1"/>
                <c:pt idx="0">
                  <c:v>  Crédito clientes</c:v>
                </c:pt>
              </c:strCache>
            </c:strRef>
          </c:tx>
          <c:val>
            <c:numRef>
              <c:f>Ratios!$B$26:$F$26</c:f>
              <c:numCache>
                <c:formatCode>#,##0" días";[Red]\(#,##0" días"\)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Ratios!$A$27</c:f>
              <c:strCache>
                <c:ptCount val="1"/>
                <c:pt idx="0">
                  <c:v>  Crédito proveedores</c:v>
                </c:pt>
              </c:strCache>
            </c:strRef>
          </c:tx>
          <c:val>
            <c:numRef>
              <c:f>Ratios!$B$27:$F$27</c:f>
              <c:numCache>
                <c:formatCode>#,##0" días";[Red]\(#,##0" días"\)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58784"/>
        <c:axId val="125965056"/>
      </c:lineChart>
      <c:catAx>
        <c:axId val="1259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5965056"/>
        <c:crosses val="autoZero"/>
        <c:auto val="1"/>
        <c:lblAlgn val="ctr"/>
        <c:lblOffset val="100"/>
        <c:noMultiLvlLbl val="0"/>
      </c:catAx>
      <c:valAx>
        <c:axId val="125965056"/>
        <c:scaling>
          <c:orientation val="minMax"/>
        </c:scaling>
        <c:delete val="0"/>
        <c:axPos val="l"/>
        <c:majorGridlines/>
        <c:numFmt formatCode="#,##0&quot; días&quot;;[Red]\(#,##0&quot; días&quot;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595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40703814900833"/>
          <c:y val="0.11254019292604502"/>
          <c:w val="0.24700290161571525"/>
          <c:h val="0.76205787781350487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4797544105983"/>
          <c:y val="6.6037735849056603E-2"/>
          <c:w val="0.83971389956113041"/>
          <c:h val="0.74056603773584906"/>
        </c:manualLayout>
      </c:layout>
      <c:lineChart>
        <c:grouping val="standard"/>
        <c:varyColors val="0"/>
        <c:ser>
          <c:idx val="0"/>
          <c:order val="0"/>
          <c:tx>
            <c:strRef>
              <c:f>Ratios!$A$29</c:f>
              <c:strCache>
                <c:ptCount val="1"/>
                <c:pt idx="0">
                  <c:v>  P.N. sobre permanentes (%)</c:v>
                </c:pt>
              </c:strCache>
            </c:strRef>
          </c:tx>
          <c:val>
            <c:numRef>
              <c:f>Ratios!$B$29:$F$29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Ratios!$A$30</c:f>
              <c:strCache>
                <c:ptCount val="1"/>
                <c:pt idx="0">
                  <c:v>  Coeficiente Básico de Financiación</c:v>
                </c:pt>
              </c:strCache>
            </c:strRef>
          </c:tx>
          <c:val>
            <c:numRef>
              <c:f>Ratios!$B$30:$F$30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Ratios!$A$31</c:f>
              <c:strCache>
                <c:ptCount val="1"/>
                <c:pt idx="0">
                  <c:v>  Inmediatez de la deuda (%)</c:v>
                </c:pt>
              </c:strCache>
            </c:strRef>
          </c:tx>
          <c:val>
            <c:numRef>
              <c:f>Ratios!$B$31:$F$31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Ratios!$A$32</c:f>
              <c:strCache>
                <c:ptCount val="1"/>
                <c:pt idx="0">
                  <c:v>  Endeudamiento (%)</c:v>
                </c:pt>
              </c:strCache>
            </c:strRef>
          </c:tx>
          <c:val>
            <c:numRef>
              <c:f>Ratios!$B$32:$F$32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Ratios!$A$33</c:f>
              <c:strCache>
                <c:ptCount val="1"/>
                <c:pt idx="0">
                  <c:v>  Capacidad devolución (%)</c:v>
                </c:pt>
              </c:strCache>
            </c:strRef>
          </c:tx>
          <c:val>
            <c:numRef>
              <c:f>Ratios!$B$33:$F$33</c:f>
              <c:numCache>
                <c:formatCode>#,##0.00%;[Red]\(#,##0.00%\)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11264"/>
        <c:axId val="126013440"/>
      </c:lineChart>
      <c:catAx>
        <c:axId val="1260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6013440"/>
        <c:crosses val="autoZero"/>
        <c:auto val="1"/>
        <c:lblAlgn val="ctr"/>
        <c:lblOffset val="100"/>
        <c:noMultiLvlLbl val="0"/>
      </c:catAx>
      <c:valAx>
        <c:axId val="126013440"/>
        <c:scaling>
          <c:orientation val="minMax"/>
        </c:scaling>
        <c:delete val="0"/>
        <c:axPos val="l"/>
        <c:majorGridlines/>
        <c:numFmt formatCode="#,##0.00%;[Red]\(#,##0.00%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6011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837421040073338"/>
          <c:y val="3.7735849056603772E-2"/>
          <c:w val="0.23205766743271927"/>
          <c:h val="0.83018867924528306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70418765908589E-2"/>
          <c:y val="4.5045441348547897E-2"/>
          <c:w val="0.87799145623628172"/>
          <c:h val="6.3063617887967063E-2"/>
        </c:manualLayout>
      </c:layout>
      <c:lineChart>
        <c:grouping val="standard"/>
        <c:varyColors val="0"/>
        <c:ser>
          <c:idx val="0"/>
          <c:order val="0"/>
          <c:tx>
            <c:strRef>
              <c:f>Ratios!$A$35</c:f>
              <c:strCache>
                <c:ptCount val="1"/>
                <c:pt idx="0">
                  <c:v>  Liquidez general</c:v>
                </c:pt>
              </c:strCache>
            </c:strRef>
          </c:tx>
          <c:val>
            <c:numRef>
              <c:f>Ratios!$B$35:$F$35</c:f>
              <c:numCache>
                <c:formatCode>#,##0.00;[Red]\(#,##0.00\)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Ratios!$A$36</c:f>
              <c:strCache>
                <c:ptCount val="1"/>
                <c:pt idx="0">
                  <c:v>  Test ácido</c:v>
                </c:pt>
              </c:strCache>
            </c:strRef>
          </c:tx>
          <c:val>
            <c:numRef>
              <c:f>Ratios!$B$36:$F$36</c:f>
              <c:numCache>
                <c:formatCode>#,##0.00;[Red]\(#,##0.00\)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20992"/>
        <c:axId val="126166528"/>
      </c:lineChart>
      <c:catAx>
        <c:axId val="1260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6166528"/>
        <c:crosses val="autoZero"/>
        <c:auto val="1"/>
        <c:lblAlgn val="ctr"/>
        <c:lblOffset val="100"/>
        <c:noMultiLvlLbl val="0"/>
      </c:catAx>
      <c:valAx>
        <c:axId val="126166528"/>
        <c:scaling>
          <c:orientation val="minMax"/>
        </c:scaling>
        <c:delete val="0"/>
        <c:axPos val="l"/>
        <c:majorGridlines/>
        <c:numFmt formatCode="#,##0.00;[Red]\(#,##0.0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602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4746888696329"/>
          <c:y val="4.5045045045045043E-2"/>
          <c:w val="0.20095718896381976"/>
          <c:h val="0.79279941358681527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gap"/>
    <c:showDLblsOverMax val="0"/>
  </c:chart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3236058991711"/>
          <c:y val="2.8513153413075275E-2"/>
          <c:w val="0.88986771075193627"/>
          <c:h val="0.86985937840893301"/>
        </c:manualLayout>
      </c:layout>
      <c:lineChart>
        <c:grouping val="standard"/>
        <c:varyColors val="0"/>
        <c:ser>
          <c:idx val="0"/>
          <c:order val="0"/>
          <c:tx>
            <c:strRef>
              <c:f>'Punto de equilibrio'!$A$4</c:f>
              <c:strCache>
                <c:ptCount val="1"/>
                <c:pt idx="0">
                  <c:v>Costes de estructura</c:v>
                </c:pt>
              </c:strCache>
            </c:strRef>
          </c:tx>
          <c:val>
            <c:numRef>
              <c:f>'Punto de equilibrio'!$B$4:$F$4</c:f>
              <c:numCache>
                <c:formatCode>#,##0" €";[Red]\(#,##0" €"\)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'Punto de equilibrio'!$A$5</c:f>
              <c:strCache>
                <c:ptCount val="1"/>
                <c:pt idx="0">
                  <c:v>Margen de contribución</c:v>
                </c:pt>
              </c:strCache>
            </c:strRef>
          </c:tx>
          <c:val>
            <c:numRef>
              <c:f>'Punto de equilibrio'!$B$5:$F$5</c:f>
              <c:numCache>
                <c:formatCode>#,##0" €";[Red]\(#,##0" €"\)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'Punto de equilibrio'!$A$7</c:f>
              <c:strCache>
                <c:ptCount val="1"/>
                <c:pt idx="0">
                  <c:v>PUNTO DE EQUILIBRIO</c:v>
                </c:pt>
              </c:strCache>
            </c:strRef>
          </c:tx>
          <c:val>
            <c:numRef>
              <c:f>'Punto de equilibrio'!$B$7:$F$7</c:f>
              <c:numCache>
                <c:formatCode>#,##0" €";[Red]\(#,##0" €"\)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'Punto de equilibrio'!$A$8</c:f>
              <c:strCache>
                <c:ptCount val="1"/>
                <c:pt idx="0">
                  <c:v>Ventas período</c:v>
                </c:pt>
              </c:strCache>
            </c:strRef>
          </c:tx>
          <c:val>
            <c:numRef>
              <c:f>'Punto de equilibrio'!$B$8:$F$8</c:f>
              <c:numCache>
                <c:formatCode>#,##0" €";[Red]\(#,##0" €"\)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81152"/>
        <c:axId val="124883328"/>
      </c:lineChart>
      <c:catAx>
        <c:axId val="124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4883328"/>
        <c:crosses val="autoZero"/>
        <c:auto val="1"/>
        <c:lblAlgn val="ctr"/>
        <c:lblOffset val="100"/>
        <c:noMultiLvlLbl val="0"/>
      </c:catAx>
      <c:valAx>
        <c:axId val="124883328"/>
        <c:scaling>
          <c:orientation val="minMax"/>
        </c:scaling>
        <c:delete val="0"/>
        <c:axPos val="l"/>
        <c:majorGridlines/>
        <c:numFmt formatCode="#,##0&quot; €&quot;;[Red]\(#,##0&quot; €&quot;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gl-ES"/>
          </a:p>
        </c:txPr>
        <c:crossAx val="124881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60639777468708"/>
          <c:y val="0.39694763345421519"/>
          <c:w val="0.23783031988873438"/>
          <c:h val="0.2442753434446647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GBox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GBox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vmlDrawing15.vml.rels><?xml version="1.0" encoding="UTF-8" standalone="yes"?>
<Relationships xmlns="http://schemas.openxmlformats.org/package/2006/relationships"><Relationship Id="rId8" Type="http://schemas.openxmlformats.org/officeDocument/2006/relationships/image" Target="../media/image32.emf"/><Relationship Id="rId13" Type="http://schemas.openxmlformats.org/officeDocument/2006/relationships/image" Target="../media/image37.emf"/><Relationship Id="rId18" Type="http://schemas.openxmlformats.org/officeDocument/2006/relationships/image" Target="../media/image42.emf"/><Relationship Id="rId3" Type="http://schemas.openxmlformats.org/officeDocument/2006/relationships/image" Target="../media/image27.emf"/><Relationship Id="rId21" Type="http://schemas.openxmlformats.org/officeDocument/2006/relationships/image" Target="../media/image45.emf"/><Relationship Id="rId7" Type="http://schemas.openxmlformats.org/officeDocument/2006/relationships/image" Target="../media/image31.emf"/><Relationship Id="rId12" Type="http://schemas.openxmlformats.org/officeDocument/2006/relationships/image" Target="../media/image36.emf"/><Relationship Id="rId17" Type="http://schemas.openxmlformats.org/officeDocument/2006/relationships/image" Target="../media/image41.emf"/><Relationship Id="rId2" Type="http://schemas.openxmlformats.org/officeDocument/2006/relationships/image" Target="../media/image26.emf"/><Relationship Id="rId16" Type="http://schemas.openxmlformats.org/officeDocument/2006/relationships/image" Target="../media/image40.emf"/><Relationship Id="rId20" Type="http://schemas.openxmlformats.org/officeDocument/2006/relationships/image" Target="../media/image44.emf"/><Relationship Id="rId1" Type="http://schemas.openxmlformats.org/officeDocument/2006/relationships/image" Target="../media/image25.emf"/><Relationship Id="rId6" Type="http://schemas.openxmlformats.org/officeDocument/2006/relationships/image" Target="../media/image30.emf"/><Relationship Id="rId11" Type="http://schemas.openxmlformats.org/officeDocument/2006/relationships/image" Target="../media/image35.emf"/><Relationship Id="rId5" Type="http://schemas.openxmlformats.org/officeDocument/2006/relationships/image" Target="../media/image29.emf"/><Relationship Id="rId15" Type="http://schemas.openxmlformats.org/officeDocument/2006/relationships/image" Target="../media/image39.emf"/><Relationship Id="rId10" Type="http://schemas.openxmlformats.org/officeDocument/2006/relationships/image" Target="../media/image34.emf"/><Relationship Id="rId19" Type="http://schemas.openxmlformats.org/officeDocument/2006/relationships/image" Target="../media/image43.emf"/><Relationship Id="rId4" Type="http://schemas.openxmlformats.org/officeDocument/2006/relationships/image" Target="../media/image28.emf"/><Relationship Id="rId9" Type="http://schemas.openxmlformats.org/officeDocument/2006/relationships/image" Target="../media/image33.emf"/><Relationship Id="rId14" Type="http://schemas.openxmlformats.org/officeDocument/2006/relationships/image" Target="../media/image38.emf"/><Relationship Id="rId22" Type="http://schemas.openxmlformats.org/officeDocument/2006/relationships/image" Target="../media/image4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1000125</xdr:colOff>
      <xdr:row>26</xdr:row>
      <xdr:rowOff>38100</xdr:rowOff>
    </xdr:from>
    <xdr:to>
      <xdr:col>4</xdr:col>
      <xdr:colOff>2971800</xdr:colOff>
      <xdr:row>29</xdr:row>
      <xdr:rowOff>57150</xdr:rowOff>
    </xdr:to>
    <xdr:pic>
      <xdr:nvPicPr>
        <xdr:cNvPr id="5641" name="Picture 38" descr="Xun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5057775"/>
          <a:ext cx="1971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1295400</xdr:colOff>
      <xdr:row>20</xdr:row>
      <xdr:rowOff>180975</xdr:rowOff>
    </xdr:from>
    <xdr:to>
      <xdr:col>4</xdr:col>
      <xdr:colOff>2238375</xdr:colOff>
      <xdr:row>24</xdr:row>
      <xdr:rowOff>190500</xdr:rowOff>
    </xdr:to>
    <xdr:pic>
      <xdr:nvPicPr>
        <xdr:cNvPr id="5642" name="Picture 39" descr="IGAP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971925"/>
          <a:ext cx="9429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171450</xdr:colOff>
          <xdr:row>3</xdr:row>
          <xdr:rowOff>0</xdr:rowOff>
        </xdr:from>
        <xdr:to>
          <xdr:col>5</xdr:col>
          <xdr:colOff>28575</xdr:colOff>
          <xdr:row>10</xdr:row>
          <xdr:rowOff>47625</xdr:rowOff>
        </xdr:to>
        <xdr:sp macro="" textlink="">
          <xdr:nvSpPr>
            <xdr:cNvPr id="5125" name="Group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ACCESO A DATOS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76200</xdr:rowOff>
        </xdr:from>
        <xdr:to>
          <xdr:col>5</xdr:col>
          <xdr:colOff>38100</xdr:colOff>
          <xdr:row>17</xdr:row>
          <xdr:rowOff>85725</xdr:rowOff>
        </xdr:to>
        <xdr:sp macro="" textlink="">
          <xdr:nvSpPr>
            <xdr:cNvPr id="5129" name="Group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DATOS DE LA EMPRESA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19</xdr:row>
          <xdr:rowOff>76200</xdr:rowOff>
        </xdr:from>
        <xdr:to>
          <xdr:col>4</xdr:col>
          <xdr:colOff>152400</xdr:colOff>
          <xdr:row>33</xdr:row>
          <xdr:rowOff>38100</xdr:rowOff>
        </xdr:to>
        <xdr:sp macro="" textlink="">
          <xdr:nvSpPr>
            <xdr:cNvPr id="5131" name="Group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TIPOS APLICABLES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1685925</xdr:colOff>
          <xdr:row>3</xdr:row>
          <xdr:rowOff>200025</xdr:rowOff>
        </xdr:from>
        <xdr:to>
          <xdr:col>2</xdr:col>
          <xdr:colOff>1047750</xdr:colOff>
          <xdr:row>5</xdr:row>
          <xdr:rowOff>85725</xdr:rowOff>
        </xdr:to>
        <xdr:sp macro="" textlink="">
          <xdr:nvSpPr>
            <xdr:cNvPr id="5138" name="Button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Financiación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447675</xdr:colOff>
          <xdr:row>3</xdr:row>
          <xdr:rowOff>200025</xdr:rowOff>
        </xdr:from>
        <xdr:to>
          <xdr:col>4</xdr:col>
          <xdr:colOff>1638300</xdr:colOff>
          <xdr:row>5</xdr:row>
          <xdr:rowOff>85725</xdr:rowOff>
        </xdr:to>
        <xdr:sp macro="" textlink="">
          <xdr:nvSpPr>
            <xdr:cNvPr id="5140" name="Button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Gastos Variables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1181100</xdr:colOff>
          <xdr:row>3</xdr:row>
          <xdr:rowOff>200025</xdr:rowOff>
        </xdr:from>
        <xdr:to>
          <xdr:col>4</xdr:col>
          <xdr:colOff>295275</xdr:colOff>
          <xdr:row>5</xdr:row>
          <xdr:rowOff>85725</xdr:rowOff>
        </xdr:to>
        <xdr:sp macro="" textlink="">
          <xdr:nvSpPr>
            <xdr:cNvPr id="5141" name="Button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Ventas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1800225</xdr:colOff>
          <xdr:row>3</xdr:row>
          <xdr:rowOff>200025</xdr:rowOff>
        </xdr:from>
        <xdr:to>
          <xdr:col>4</xdr:col>
          <xdr:colOff>2990850</xdr:colOff>
          <xdr:row>5</xdr:row>
          <xdr:rowOff>85725</xdr:rowOff>
        </xdr:to>
        <xdr:sp macro="" textlink="">
          <xdr:nvSpPr>
            <xdr:cNvPr id="5142" name="Button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Gastos Personal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371475</xdr:colOff>
          <xdr:row>5</xdr:row>
          <xdr:rowOff>171450</xdr:rowOff>
        </xdr:from>
        <xdr:to>
          <xdr:col>1</xdr:col>
          <xdr:colOff>1562100</xdr:colOff>
          <xdr:row>7</xdr:row>
          <xdr:rowOff>57150</xdr:rowOff>
        </xdr:to>
        <xdr:sp macro="" textlink="">
          <xdr:nvSpPr>
            <xdr:cNvPr id="5143" name="Button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Gastos Fijos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1685925</xdr:colOff>
          <xdr:row>5</xdr:row>
          <xdr:rowOff>180975</xdr:rowOff>
        </xdr:from>
        <xdr:to>
          <xdr:col>2</xdr:col>
          <xdr:colOff>1047750</xdr:colOff>
          <xdr:row>7</xdr:row>
          <xdr:rowOff>66675</xdr:rowOff>
        </xdr:to>
        <xdr:sp macro="" textlink="">
          <xdr:nvSpPr>
            <xdr:cNvPr id="5144" name="Button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Resultados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1181100</xdr:colOff>
          <xdr:row>5</xdr:row>
          <xdr:rowOff>180975</xdr:rowOff>
        </xdr:from>
        <xdr:to>
          <xdr:col>4</xdr:col>
          <xdr:colOff>295275</xdr:colOff>
          <xdr:row>7</xdr:row>
          <xdr:rowOff>66675</xdr:rowOff>
        </xdr:to>
        <xdr:sp macro="" textlink="">
          <xdr:nvSpPr>
            <xdr:cNvPr id="5145" name="Button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Circulante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438150</xdr:colOff>
          <xdr:row>5</xdr:row>
          <xdr:rowOff>171450</xdr:rowOff>
        </xdr:from>
        <xdr:to>
          <xdr:col>4</xdr:col>
          <xdr:colOff>1628775</xdr:colOff>
          <xdr:row>7</xdr:row>
          <xdr:rowOff>57150</xdr:rowOff>
        </xdr:to>
        <xdr:sp macro="" textlink="">
          <xdr:nvSpPr>
            <xdr:cNvPr id="5146" name="Button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Balances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1809750</xdr:colOff>
          <xdr:row>5</xdr:row>
          <xdr:rowOff>190500</xdr:rowOff>
        </xdr:from>
        <xdr:to>
          <xdr:col>4</xdr:col>
          <xdr:colOff>3000375</xdr:colOff>
          <xdr:row>7</xdr:row>
          <xdr:rowOff>76200</xdr:rowOff>
        </xdr:to>
        <xdr:sp macro="" textlink="">
          <xdr:nvSpPr>
            <xdr:cNvPr id="5147" name="Button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Presup. Capital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371475</xdr:colOff>
          <xdr:row>7</xdr:row>
          <xdr:rowOff>171450</xdr:rowOff>
        </xdr:from>
        <xdr:to>
          <xdr:col>1</xdr:col>
          <xdr:colOff>1562100</xdr:colOff>
          <xdr:row>9</xdr:row>
          <xdr:rowOff>57150</xdr:rowOff>
        </xdr:to>
        <xdr:sp macro="" textlink="">
          <xdr:nvSpPr>
            <xdr:cNvPr id="5148" name="Button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Tesorería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1695450</xdr:colOff>
          <xdr:row>7</xdr:row>
          <xdr:rowOff>180975</xdr:rowOff>
        </xdr:from>
        <xdr:to>
          <xdr:col>2</xdr:col>
          <xdr:colOff>1057275</xdr:colOff>
          <xdr:row>9</xdr:row>
          <xdr:rowOff>66675</xdr:rowOff>
        </xdr:to>
        <xdr:sp macro="" textlink="">
          <xdr:nvSpPr>
            <xdr:cNvPr id="5149" name="Button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Ratios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1190625</xdr:colOff>
          <xdr:row>7</xdr:row>
          <xdr:rowOff>180975</xdr:rowOff>
        </xdr:from>
        <xdr:to>
          <xdr:col>4</xdr:col>
          <xdr:colOff>304800</xdr:colOff>
          <xdr:row>9</xdr:row>
          <xdr:rowOff>66675</xdr:rowOff>
        </xdr:to>
        <xdr:sp macro="" textlink="">
          <xdr:nvSpPr>
            <xdr:cNvPr id="5150" name="Button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Pto. Equilibrio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504825</xdr:colOff>
          <xdr:row>7</xdr:row>
          <xdr:rowOff>190500</xdr:rowOff>
        </xdr:from>
        <xdr:to>
          <xdr:col>4</xdr:col>
          <xdr:colOff>2971800</xdr:colOff>
          <xdr:row>9</xdr:row>
          <xdr:rowOff>171450</xdr:rowOff>
        </xdr:to>
        <xdr:sp macro="" textlink="">
          <xdr:nvSpPr>
            <xdr:cNvPr id="5151" name="Group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IMPRIMIR 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371475</xdr:colOff>
          <xdr:row>3</xdr:row>
          <xdr:rowOff>200025</xdr:rowOff>
        </xdr:from>
        <xdr:to>
          <xdr:col>1</xdr:col>
          <xdr:colOff>1562100</xdr:colOff>
          <xdr:row>5</xdr:row>
          <xdr:rowOff>85725</xdr:rowOff>
        </xdr:to>
        <xdr:sp macro="" textlink="">
          <xdr:nvSpPr>
            <xdr:cNvPr id="5160" name="Button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Plan Inversiones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971550</xdr:colOff>
          <xdr:row>8</xdr:row>
          <xdr:rowOff>95250</xdr:rowOff>
        </xdr:from>
        <xdr:to>
          <xdr:col>4</xdr:col>
          <xdr:colOff>2486025</xdr:colOff>
          <xdr:row>9</xdr:row>
          <xdr:rowOff>114300</xdr:rowOff>
        </xdr:to>
        <xdr:sp macro="" textlink="">
          <xdr:nvSpPr>
            <xdr:cNvPr id="5300" name="Button 180" hidden="1">
              <a:extLst>
                <a:ext uri="{63B3BB69-23CF-44E3-9099-C40C66FF867C}">
                  <a14:compatExt spid="_x0000_s5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95250</xdr:rowOff>
        </xdr:from>
        <xdr:to>
          <xdr:col>2</xdr:col>
          <xdr:colOff>1038225</xdr:colOff>
          <xdr:row>0</xdr:row>
          <xdr:rowOff>466725</xdr:rowOff>
        </xdr:to>
        <xdr:sp macro="" textlink="">
          <xdr:nvSpPr>
            <xdr:cNvPr id="64513" name="Button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28575</xdr:rowOff>
        </xdr:from>
        <xdr:to>
          <xdr:col>2</xdr:col>
          <xdr:colOff>942975</xdr:colOff>
          <xdr:row>0</xdr:row>
          <xdr:rowOff>333375</xdr:rowOff>
        </xdr:to>
        <xdr:sp macro="" textlink="">
          <xdr:nvSpPr>
            <xdr:cNvPr id="65537" name="Button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76200</xdr:rowOff>
        </xdr:from>
        <xdr:to>
          <xdr:col>1</xdr:col>
          <xdr:colOff>990600</xdr:colOff>
          <xdr:row>0</xdr:row>
          <xdr:rowOff>381000</xdr:rowOff>
        </xdr:to>
        <xdr:sp macro="" textlink="">
          <xdr:nvSpPr>
            <xdr:cNvPr id="66561" name="Button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781050</xdr:colOff>
      <xdr:row>5</xdr:row>
      <xdr:rowOff>295275</xdr:rowOff>
    </xdr:to>
    <xdr:graphicFrame macro="">
      <xdr:nvGraphicFramePr>
        <xdr:cNvPr id="124461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9525</xdr:rowOff>
    </xdr:from>
    <xdr:to>
      <xdr:col>12</xdr:col>
      <xdr:colOff>781050</xdr:colOff>
      <xdr:row>11</xdr:row>
      <xdr:rowOff>304800</xdr:rowOff>
    </xdr:to>
    <xdr:graphicFrame macro="">
      <xdr:nvGraphicFramePr>
        <xdr:cNvPr id="1244615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12</xdr:row>
      <xdr:rowOff>19050</xdr:rowOff>
    </xdr:from>
    <xdr:to>
      <xdr:col>12</xdr:col>
      <xdr:colOff>781050</xdr:colOff>
      <xdr:row>17</xdr:row>
      <xdr:rowOff>314325</xdr:rowOff>
    </xdr:to>
    <xdr:graphicFrame macro="">
      <xdr:nvGraphicFramePr>
        <xdr:cNvPr id="1244616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12</xdr:col>
      <xdr:colOff>790575</xdr:colOff>
      <xdr:row>26</xdr:row>
      <xdr:rowOff>295275</xdr:rowOff>
    </xdr:to>
    <xdr:graphicFrame macro="">
      <xdr:nvGraphicFramePr>
        <xdr:cNvPr id="1244617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27</xdr:row>
      <xdr:rowOff>0</xdr:rowOff>
    </xdr:from>
    <xdr:to>
      <xdr:col>12</xdr:col>
      <xdr:colOff>800100</xdr:colOff>
      <xdr:row>32</xdr:row>
      <xdr:rowOff>304800</xdr:rowOff>
    </xdr:to>
    <xdr:graphicFrame macro="">
      <xdr:nvGraphicFramePr>
        <xdr:cNvPr id="1244618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33</xdr:row>
      <xdr:rowOff>19050</xdr:rowOff>
    </xdr:from>
    <xdr:to>
      <xdr:col>12</xdr:col>
      <xdr:colOff>800100</xdr:colOff>
      <xdr:row>36</xdr:row>
      <xdr:rowOff>9525</xdr:rowOff>
    </xdr:to>
    <xdr:graphicFrame macro="">
      <xdr:nvGraphicFramePr>
        <xdr:cNvPr id="1244619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95250</xdr:rowOff>
        </xdr:from>
        <xdr:to>
          <xdr:col>0</xdr:col>
          <xdr:colOff>1304925</xdr:colOff>
          <xdr:row>0</xdr:row>
          <xdr:rowOff>400050</xdr:rowOff>
        </xdr:to>
        <xdr:sp macro="" textlink="">
          <xdr:nvSpPr>
            <xdr:cNvPr id="6187" name="Button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142875</xdr:rowOff>
    </xdr:from>
    <xdr:to>
      <xdr:col>5</xdr:col>
      <xdr:colOff>809625</xdr:colOff>
      <xdr:row>27</xdr:row>
      <xdr:rowOff>114300</xdr:rowOff>
    </xdr:to>
    <xdr:graphicFrame macro="">
      <xdr:nvGraphicFramePr>
        <xdr:cNvPr id="1356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104775</xdr:rowOff>
        </xdr:from>
        <xdr:to>
          <xdr:col>0</xdr:col>
          <xdr:colOff>1343025</xdr:colOff>
          <xdr:row>0</xdr:row>
          <xdr:rowOff>409575</xdr:rowOff>
        </xdr:to>
        <xdr:sp macro="" textlink="">
          <xdr:nvSpPr>
            <xdr:cNvPr id="13320" name="Button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58</xdr:row>
      <xdr:rowOff>0</xdr:rowOff>
    </xdr:from>
    <xdr:to>
      <xdr:col>7</xdr:col>
      <xdr:colOff>142875</xdr:colOff>
      <xdr:row>67</xdr:row>
      <xdr:rowOff>38735</xdr:rowOff>
    </xdr:to>
    <xdr:sp macro="" textlink="">
      <xdr:nvSpPr>
        <xdr:cNvPr id="9" name="1 Cuadro de texto"/>
        <xdr:cNvSpPr txBox="1"/>
      </xdr:nvSpPr>
      <xdr:spPr>
        <a:xfrm>
          <a:off x="428625" y="12611100"/>
          <a:ext cx="7696200" cy="183896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Bef>
              <a:spcPts val="300"/>
            </a:spcBef>
            <a:spcAft>
              <a:spcPts val="300"/>
            </a:spcAft>
          </a:pPr>
          <a:r>
            <a:rPr lang="es-ES" sz="1000" b="1" i="0" baseline="0">
              <a:effectLst/>
              <a:latin typeface="Trebuchet MS"/>
              <a:ea typeface="Times New Roman"/>
              <a:cs typeface="Times New Roman"/>
            </a:rPr>
            <a:t>1. INTRODUCCIÓN</a:t>
          </a:r>
        </a:p>
        <a:p>
          <a:pPr algn="just">
            <a:lnSpc>
              <a:spcPts val="1700"/>
            </a:lnSpc>
            <a:spcBef>
              <a:spcPts val="300"/>
            </a:spcBef>
            <a:spcAft>
              <a:spcPts val="300"/>
            </a:spcAft>
          </a:pPr>
          <a:endParaRPr lang="es-ES" sz="900">
            <a:effectLst/>
            <a:latin typeface="Trebuchet MS"/>
            <a:ea typeface="Times New Roman"/>
            <a:cs typeface="Times New Roman"/>
          </a:endParaRPr>
        </a:p>
        <a:p>
          <a:pPr algn="just">
            <a:lnSpc>
              <a:spcPts val="1700"/>
            </a:lnSpc>
            <a:spcBef>
              <a:spcPts val="300"/>
            </a:spcBef>
            <a:spcAft>
              <a:spcPts val="300"/>
            </a:spcAf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Este documento contiene del plan económico y financiero del proyecto durante los cinco primeros años de actividad.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ts val="1700"/>
            </a:lnSpc>
            <a:spcBef>
              <a:spcPts val="300"/>
            </a:spcBef>
            <a:spcAft>
              <a:spcPts val="300"/>
            </a:spcAf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Está estructurado en dos grandes apartados: 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marL="342900" lvl="0" indent="-342900" algn="just">
            <a:lnSpc>
              <a:spcPts val="1600"/>
            </a:lnSpc>
            <a:spcBef>
              <a:spcPts val="300"/>
            </a:spcBef>
            <a:spcAft>
              <a:spcPts val="300"/>
            </a:spcAft>
            <a:buFont typeface="Wingdings"/>
            <a:buChar char=""/>
            <a:tabLst>
              <a:tab pos="228600" algn="l"/>
            </a:tabLs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HIPÓTESIS CONTEMPLADAS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marL="342900" lvl="0" indent="-342900" algn="just">
            <a:lnSpc>
              <a:spcPts val="2000"/>
            </a:lnSpc>
            <a:spcBef>
              <a:spcPts val="300"/>
            </a:spcBef>
            <a:spcAft>
              <a:spcPts val="300"/>
            </a:spcAft>
            <a:buFont typeface="Wingdings"/>
            <a:buChar char=""/>
            <a:tabLst>
              <a:tab pos="228600" algn="l"/>
            </a:tabLs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ESTADOS FINANCIEROS PREVISIONALES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ts val="1200"/>
            </a:lnSpc>
            <a:spcBef>
              <a:spcPts val="300"/>
            </a:spcBef>
            <a:spcAft>
              <a:spcPts val="300"/>
            </a:spcAf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En el primero de ellos se han recogido las hipótesis y políticas que van a permitir la elaboración de los estados financieros que se recogen en la segunda parte.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ts val="1200"/>
            </a:lnSpc>
            <a:spcBef>
              <a:spcPts val="300"/>
            </a:spcBef>
            <a:spcAft>
              <a:spcPts val="300"/>
            </a:spcAft>
          </a:pPr>
          <a:r>
            <a:rPr lang="es-ES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419099</xdr:colOff>
      <xdr:row>84</xdr:row>
      <xdr:rowOff>219074</xdr:rowOff>
    </xdr:from>
    <xdr:to>
      <xdr:col>7</xdr:col>
      <xdr:colOff>104774</xdr:colOff>
      <xdr:row>89</xdr:row>
      <xdr:rowOff>171449</xdr:rowOff>
    </xdr:to>
    <xdr:sp macro="" textlink="">
      <xdr:nvSpPr>
        <xdr:cNvPr id="10" name="1 Cuadro de texto"/>
        <xdr:cNvSpPr txBox="1"/>
      </xdr:nvSpPr>
      <xdr:spPr>
        <a:xfrm>
          <a:off x="419099" y="17535524"/>
          <a:ext cx="7667625" cy="981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Bef>
              <a:spcPts val="300"/>
            </a:spcBef>
            <a:spcAft>
              <a:spcPts val="300"/>
            </a:spcAft>
          </a:pPr>
          <a:r>
            <a:rPr lang="es-ES" sz="1000" b="1" i="0" baseline="0">
              <a:effectLst/>
              <a:latin typeface="Trebuchet MS" pitchFamily="34" charset="0"/>
              <a:ea typeface="Times New Roman"/>
              <a:cs typeface="Times New Roman"/>
            </a:rPr>
            <a:t> 2. </a:t>
          </a:r>
          <a:r>
            <a:rPr lang="es-ES_tradnl" sz="1000" b="1" i="0" kern="0" baseline="0">
              <a:solidFill>
                <a:srgbClr val="000000"/>
              </a:solidFill>
              <a:effectLst/>
              <a:latin typeface="Trebuchet MS" pitchFamily="34" charset="0"/>
              <a:ea typeface="Times New Roman"/>
              <a:cs typeface="Times New Roman"/>
            </a:rPr>
            <a:t>HIPÓTESIS CONTEMPLADAS</a:t>
          </a:r>
          <a:endParaRPr lang="es-ES" sz="1000" b="1" i="0" baseline="0">
            <a:effectLst/>
            <a:latin typeface="Trebuchet MS" pitchFamily="34" charset="0"/>
            <a:ea typeface="Times New Roman"/>
            <a:cs typeface="Times New Roman"/>
          </a:endParaRPr>
        </a:p>
        <a:p>
          <a:pPr marL="367030" indent="-367030" algn="just">
            <a:spcBef>
              <a:spcPts val="600"/>
            </a:spcBef>
            <a:spcAft>
              <a:spcPts val="0"/>
            </a:spcAft>
            <a:tabLst>
              <a:tab pos="367030" algn="l"/>
              <a:tab pos="449580" algn="l"/>
            </a:tabLst>
          </a:pPr>
          <a:r>
            <a:rPr lang="es-ES_tradnl" sz="1000" b="1" i="0" baseline="0">
              <a:solidFill>
                <a:srgbClr val="000000"/>
              </a:solidFill>
              <a:effectLst/>
              <a:latin typeface="Trebuchet MS" pitchFamily="34" charset="0"/>
              <a:ea typeface="Times New Roman"/>
              <a:cs typeface="Times New Roman"/>
            </a:rPr>
            <a:t>    2.1  INVERSIONES PREVISTAS Y PLAN DE AMORTIZACIONES</a:t>
          </a:r>
        </a:p>
        <a:p>
          <a:pPr algn="just">
            <a:spcBef>
              <a:spcPts val="600"/>
            </a:spcBef>
            <a:spcAft>
              <a:spcPts val="0"/>
            </a:spcAft>
          </a:pPr>
          <a:endParaRPr lang="es-ES" sz="900">
            <a:effectLst/>
            <a:latin typeface="Trebuchet MS"/>
            <a:ea typeface="Times New Roman"/>
            <a:cs typeface="Times New Roman"/>
          </a:endParaRPr>
        </a:p>
        <a:p>
          <a:pPr algn="just">
            <a:spcBef>
              <a:spcPts val="600"/>
            </a:spcBef>
            <a:spcAft>
              <a:spcPts val="0"/>
            </a:spcAf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Se presentan en este punto el total de inversiones previstas para los cinco primeros años de actividad así como la política de amortizaciones.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 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es-ES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428625</xdr:colOff>
      <xdr:row>144</xdr:row>
      <xdr:rowOff>47625</xdr:rowOff>
    </xdr:from>
    <xdr:to>
      <xdr:col>7</xdr:col>
      <xdr:colOff>200025</xdr:colOff>
      <xdr:row>147</xdr:row>
      <xdr:rowOff>152400</xdr:rowOff>
    </xdr:to>
    <xdr:sp macro="" textlink="">
      <xdr:nvSpPr>
        <xdr:cNvPr id="16" name="2 Cuadro de texto"/>
        <xdr:cNvSpPr txBox="1"/>
      </xdr:nvSpPr>
      <xdr:spPr>
        <a:xfrm>
          <a:off x="428625" y="29422725"/>
          <a:ext cx="7753350" cy="70485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rebuchet MS"/>
            </a:rPr>
            <a:t>  2.2 FUENTES DE FINANCIACIÓN</a:t>
          </a:r>
        </a:p>
        <a:p>
          <a:pPr algn="just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Trebuchet MS"/>
            </a:rPr>
            <a:t>Se ha estimado que la estructura de financiación a largo plazo necesaria para el desarrollo de la actividad presente la siguiente composición:</a:t>
          </a:r>
        </a:p>
      </xdr:txBody>
    </xdr:sp>
    <xdr:clientData/>
  </xdr:twoCellAnchor>
  <xdr:twoCellAnchor>
    <xdr:from>
      <xdr:col>0</xdr:col>
      <xdr:colOff>323850</xdr:colOff>
      <xdr:row>173</xdr:row>
      <xdr:rowOff>171450</xdr:rowOff>
    </xdr:from>
    <xdr:to>
      <xdr:col>7</xdr:col>
      <xdr:colOff>38100</xdr:colOff>
      <xdr:row>176</xdr:row>
      <xdr:rowOff>9525</xdr:rowOff>
    </xdr:to>
    <xdr:sp macro="" textlink="">
      <xdr:nvSpPr>
        <xdr:cNvPr id="1351212" name="2 Cuadro de texto"/>
        <xdr:cNvSpPr txBox="1">
          <a:spLocks noChangeArrowheads="1"/>
        </xdr:cNvSpPr>
      </xdr:nvSpPr>
      <xdr:spPr bwMode="auto">
        <a:xfrm>
          <a:off x="323850" y="35347275"/>
          <a:ext cx="7696200" cy="438150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just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rebuchet MS"/>
            </a:rPr>
            <a:t>  2.3 PREVISIONES DE VENTAS E INGRESOS</a:t>
          </a:r>
          <a:endParaRPr lang="es-E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 editAs="absolute">
    <xdr:from>
      <xdr:col>4</xdr:col>
      <xdr:colOff>790575</xdr:colOff>
      <xdr:row>2</xdr:row>
      <xdr:rowOff>38100</xdr:rowOff>
    </xdr:from>
    <xdr:to>
      <xdr:col>6</xdr:col>
      <xdr:colOff>333375</xdr:colOff>
      <xdr:row>3</xdr:row>
      <xdr:rowOff>190500</xdr:rowOff>
    </xdr:to>
    <xdr:pic>
      <xdr:nvPicPr>
        <xdr:cNvPr id="1674666" name="Picture 38" descr="Xun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8150"/>
          <a:ext cx="1219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666750</xdr:colOff>
      <xdr:row>1</xdr:row>
      <xdr:rowOff>85725</xdr:rowOff>
    </xdr:from>
    <xdr:to>
      <xdr:col>7</xdr:col>
      <xdr:colOff>409575</xdr:colOff>
      <xdr:row>4</xdr:row>
      <xdr:rowOff>9525</xdr:rowOff>
    </xdr:to>
    <xdr:pic>
      <xdr:nvPicPr>
        <xdr:cNvPr id="1674667" name="Picture 39" descr="IGAP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85750"/>
          <a:ext cx="581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548</xdr:row>
      <xdr:rowOff>180975</xdr:rowOff>
    </xdr:from>
    <xdr:to>
      <xdr:col>5</xdr:col>
      <xdr:colOff>403860</xdr:colOff>
      <xdr:row>550</xdr:row>
      <xdr:rowOff>95250</xdr:rowOff>
    </xdr:to>
    <xdr:sp macro="" textlink="">
      <xdr:nvSpPr>
        <xdr:cNvPr id="45" name="2 Cuadro de texto"/>
        <xdr:cNvSpPr txBox="1"/>
      </xdr:nvSpPr>
      <xdr:spPr>
        <a:xfrm>
          <a:off x="361950" y="104565450"/>
          <a:ext cx="6347460" cy="31432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Bef>
              <a:spcPts val="300"/>
            </a:spcBef>
            <a:spcAft>
              <a:spcPts val="300"/>
            </a:spcAft>
          </a:pPr>
          <a:r>
            <a:rPr lang="es-ES" sz="1000" b="1" baseline="0">
              <a:effectLst/>
              <a:latin typeface="Trebuchet MS" pitchFamily="34" charset="0"/>
              <a:ea typeface="Times New Roman"/>
              <a:cs typeface="Times New Roman"/>
            </a:rPr>
            <a:t>    3.5 RATIOS</a:t>
          </a:r>
        </a:p>
      </xdr:txBody>
    </xdr:sp>
    <xdr:clientData/>
  </xdr:twoCellAnchor>
  <xdr:twoCellAnchor>
    <xdr:from>
      <xdr:col>0</xdr:col>
      <xdr:colOff>561975</xdr:colOff>
      <xdr:row>520</xdr:row>
      <xdr:rowOff>0</xdr:rowOff>
    </xdr:from>
    <xdr:to>
      <xdr:col>5</xdr:col>
      <xdr:colOff>603885</xdr:colOff>
      <xdr:row>521</xdr:row>
      <xdr:rowOff>114300</xdr:rowOff>
    </xdr:to>
    <xdr:sp macro="" textlink="">
      <xdr:nvSpPr>
        <xdr:cNvPr id="48" name="2 Cuadro de texto"/>
        <xdr:cNvSpPr txBox="1"/>
      </xdr:nvSpPr>
      <xdr:spPr>
        <a:xfrm>
          <a:off x="561975" y="98783775"/>
          <a:ext cx="6347460" cy="31432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Bef>
              <a:spcPts val="300"/>
            </a:spcBef>
            <a:spcAft>
              <a:spcPts val="300"/>
            </a:spcAft>
          </a:pPr>
          <a:r>
            <a:rPr lang="es-ES" sz="1000" b="1" baseline="0">
              <a:effectLst/>
              <a:latin typeface="Trebuchet MS" pitchFamily="34" charset="0"/>
              <a:ea typeface="Times New Roman"/>
              <a:cs typeface="Times New Roman"/>
            </a:rPr>
            <a:t>    3.4 PREVISIONES DE TESORERÍA</a:t>
          </a:r>
        </a:p>
      </xdr:txBody>
    </xdr:sp>
    <xdr:clientData/>
  </xdr:twoCellAnchor>
  <xdr:twoCellAnchor>
    <xdr:from>
      <xdr:col>0</xdr:col>
      <xdr:colOff>504824</xdr:colOff>
      <xdr:row>490</xdr:row>
      <xdr:rowOff>171450</xdr:rowOff>
    </xdr:from>
    <xdr:to>
      <xdr:col>5</xdr:col>
      <xdr:colOff>546734</xdr:colOff>
      <xdr:row>492</xdr:row>
      <xdr:rowOff>123824</xdr:rowOff>
    </xdr:to>
    <xdr:sp macro="" textlink="">
      <xdr:nvSpPr>
        <xdr:cNvPr id="50" name="2 Cuadro de texto"/>
        <xdr:cNvSpPr txBox="1"/>
      </xdr:nvSpPr>
      <xdr:spPr>
        <a:xfrm>
          <a:off x="504824" y="92954475"/>
          <a:ext cx="6347460" cy="35242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Bef>
              <a:spcPts val="300"/>
            </a:spcBef>
            <a:spcAft>
              <a:spcPts val="300"/>
            </a:spcAft>
          </a:pPr>
          <a:r>
            <a:rPr lang="es-ES" sz="1000" b="1" baseline="0">
              <a:effectLst/>
              <a:latin typeface="Trebuchet MS" pitchFamily="34" charset="0"/>
              <a:ea typeface="Times New Roman"/>
              <a:cs typeface="Times New Roman"/>
            </a:rPr>
            <a:t>    3.3 PRESUPUESTO DE CAPITAL</a:t>
          </a:r>
        </a:p>
      </xdr:txBody>
    </xdr:sp>
    <xdr:clientData/>
  </xdr:twoCellAnchor>
  <xdr:twoCellAnchor>
    <xdr:from>
      <xdr:col>0</xdr:col>
      <xdr:colOff>419099</xdr:colOff>
      <xdr:row>462</xdr:row>
      <xdr:rowOff>0</xdr:rowOff>
    </xdr:from>
    <xdr:to>
      <xdr:col>5</xdr:col>
      <xdr:colOff>461009</xdr:colOff>
      <xdr:row>463</xdr:row>
      <xdr:rowOff>152399</xdr:rowOff>
    </xdr:to>
    <xdr:sp macro="" textlink="">
      <xdr:nvSpPr>
        <xdr:cNvPr id="52" name="2 Cuadro de texto"/>
        <xdr:cNvSpPr txBox="1"/>
      </xdr:nvSpPr>
      <xdr:spPr>
        <a:xfrm>
          <a:off x="419099" y="87182325"/>
          <a:ext cx="6347460" cy="35242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Bef>
              <a:spcPts val="300"/>
            </a:spcBef>
            <a:spcAft>
              <a:spcPts val="300"/>
            </a:spcAft>
          </a:pPr>
          <a:r>
            <a:rPr lang="es-ES" sz="1000" b="1" baseline="0">
              <a:effectLst/>
              <a:latin typeface="Trebuchet MS" pitchFamily="34" charset="0"/>
              <a:ea typeface="Times New Roman"/>
              <a:cs typeface="Times New Roman"/>
            </a:rPr>
            <a:t>    3.2 BALANCE DE SITUACIÓN</a:t>
          </a:r>
        </a:p>
      </xdr:txBody>
    </xdr:sp>
    <xdr:clientData/>
  </xdr:twoCellAnchor>
  <xdr:twoCellAnchor>
    <xdr:from>
      <xdr:col>0</xdr:col>
      <xdr:colOff>457199</xdr:colOff>
      <xdr:row>433</xdr:row>
      <xdr:rowOff>0</xdr:rowOff>
    </xdr:from>
    <xdr:to>
      <xdr:col>5</xdr:col>
      <xdr:colOff>499109</xdr:colOff>
      <xdr:row>436</xdr:row>
      <xdr:rowOff>180975</xdr:rowOff>
    </xdr:to>
    <xdr:sp macro="" textlink="">
      <xdr:nvSpPr>
        <xdr:cNvPr id="54" name="2 Cuadro de texto"/>
        <xdr:cNvSpPr txBox="1"/>
      </xdr:nvSpPr>
      <xdr:spPr>
        <a:xfrm>
          <a:off x="457199" y="81381600"/>
          <a:ext cx="6347460" cy="78105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Bef>
              <a:spcPts val="300"/>
            </a:spcBef>
            <a:spcAft>
              <a:spcPts val="300"/>
            </a:spcAft>
          </a:pPr>
          <a:r>
            <a:rPr lang="es-ES" sz="1000" b="1">
              <a:effectLst/>
              <a:latin typeface="Trebuchet MS" pitchFamily="34" charset="0"/>
              <a:ea typeface="Times New Roman"/>
              <a:cs typeface="Times New Roman"/>
            </a:rPr>
            <a:t>3.</a:t>
          </a:r>
          <a:r>
            <a:rPr lang="es-ES" sz="1000" b="1" baseline="0">
              <a:effectLst/>
              <a:latin typeface="Trebuchet MS" pitchFamily="34" charset="0"/>
              <a:ea typeface="Times New Roman"/>
              <a:cs typeface="Times New Roman"/>
            </a:rPr>
            <a:t> ESTADOS FINANCIEROS</a:t>
          </a:r>
        </a:p>
        <a:p>
          <a:pPr algn="just">
            <a:lnSpc>
              <a:spcPts val="1500"/>
            </a:lnSpc>
            <a:spcBef>
              <a:spcPts val="300"/>
            </a:spcBef>
            <a:spcAft>
              <a:spcPts val="300"/>
            </a:spcAft>
          </a:pPr>
          <a:r>
            <a:rPr lang="es-ES" sz="1000" b="1" baseline="0">
              <a:effectLst/>
              <a:latin typeface="Trebuchet MS" pitchFamily="34" charset="0"/>
              <a:ea typeface="Times New Roman"/>
              <a:cs typeface="Times New Roman"/>
            </a:rPr>
            <a:t> </a:t>
          </a:r>
        </a:p>
        <a:p>
          <a:pPr algn="just">
            <a:lnSpc>
              <a:spcPts val="1100"/>
            </a:lnSpc>
            <a:spcBef>
              <a:spcPts val="300"/>
            </a:spcBef>
            <a:spcAft>
              <a:spcPts val="300"/>
            </a:spcAft>
          </a:pPr>
          <a:r>
            <a:rPr lang="es-ES" sz="1000" b="1" baseline="0">
              <a:effectLst/>
              <a:latin typeface="Trebuchet MS" pitchFamily="34" charset="0"/>
              <a:ea typeface="Times New Roman"/>
              <a:cs typeface="Times New Roman"/>
            </a:rPr>
            <a:t>     3.1 CUENTA DE RESULTADOS PREVISIONALES</a:t>
          </a:r>
        </a:p>
      </xdr:txBody>
    </xdr:sp>
    <xdr:clientData/>
  </xdr:twoCellAnchor>
  <xdr:twoCellAnchor>
    <xdr:from>
      <xdr:col>1</xdr:col>
      <xdr:colOff>0</xdr:colOff>
      <xdr:row>404</xdr:row>
      <xdr:rowOff>0</xdr:rowOff>
    </xdr:from>
    <xdr:to>
      <xdr:col>7</xdr:col>
      <xdr:colOff>466727</xdr:colOff>
      <xdr:row>407</xdr:row>
      <xdr:rowOff>104774</xdr:rowOff>
    </xdr:to>
    <xdr:sp macro="" textlink="">
      <xdr:nvSpPr>
        <xdr:cNvPr id="57" name="2 Cuadro de texto"/>
        <xdr:cNvSpPr txBox="1"/>
      </xdr:nvSpPr>
      <xdr:spPr>
        <a:xfrm>
          <a:off x="838200" y="75580875"/>
          <a:ext cx="7610477" cy="704849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rebuchet MS"/>
            </a:rPr>
            <a:t>      2.6 PUNTO DE EQUILIBRIO</a:t>
          </a:r>
        </a:p>
        <a:p>
          <a:pPr algn="just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Trebuchet MS"/>
            </a:rPr>
            <a:t>Sobre la base de las estimaciones de ingresos y de costes se ha calculado los importes de los puntos de equilibrio para los cinco primeros años </a:t>
          </a:r>
        </a:p>
      </xdr:txBody>
    </xdr:sp>
    <xdr:clientData/>
  </xdr:twoCellAnchor>
  <xdr:twoCellAnchor>
    <xdr:from>
      <xdr:col>0</xdr:col>
      <xdr:colOff>390523</xdr:colOff>
      <xdr:row>346</xdr:row>
      <xdr:rowOff>0</xdr:rowOff>
    </xdr:from>
    <xdr:to>
      <xdr:col>6</xdr:col>
      <xdr:colOff>476248</xdr:colOff>
      <xdr:row>376</xdr:row>
      <xdr:rowOff>104775</xdr:rowOff>
    </xdr:to>
    <xdr:sp macro="" textlink="">
      <xdr:nvSpPr>
        <xdr:cNvPr id="59" name="2 Cuadro de texto"/>
        <xdr:cNvSpPr txBox="1"/>
      </xdr:nvSpPr>
      <xdr:spPr>
        <a:xfrm>
          <a:off x="390523" y="69780150"/>
          <a:ext cx="7229475" cy="30480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Trebuchet MS"/>
            </a:rPr>
            <a:t>     2.5 CIRCULANTE PREVISTO</a:t>
          </a:r>
        </a:p>
        <a:p>
          <a:pPr algn="l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Trebuchet MS"/>
          </a:endParaRPr>
        </a:p>
      </xdr:txBody>
    </xdr:sp>
    <xdr:clientData/>
  </xdr:twoCellAnchor>
  <xdr:twoCellAnchor>
    <xdr:from>
      <xdr:col>0</xdr:col>
      <xdr:colOff>428624</xdr:colOff>
      <xdr:row>317</xdr:row>
      <xdr:rowOff>0</xdr:rowOff>
    </xdr:from>
    <xdr:to>
      <xdr:col>7</xdr:col>
      <xdr:colOff>57149</xdr:colOff>
      <xdr:row>321</xdr:row>
      <xdr:rowOff>167005</xdr:rowOff>
    </xdr:to>
    <xdr:sp macro="" textlink="">
      <xdr:nvSpPr>
        <xdr:cNvPr id="61" name="2 Cuadro de texto"/>
        <xdr:cNvSpPr txBox="1"/>
      </xdr:nvSpPr>
      <xdr:spPr>
        <a:xfrm>
          <a:off x="428624" y="63979425"/>
          <a:ext cx="7610475" cy="96710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457200" indent="-457200" algn="just">
            <a:lnSpc>
              <a:spcPts val="1200"/>
            </a:lnSpc>
            <a:spcBef>
              <a:spcPts val="300"/>
            </a:spcBef>
            <a:spcAft>
              <a:spcPts val="300"/>
            </a:spcAft>
          </a:pPr>
          <a:r>
            <a:rPr lang="es-ES_tradnl" sz="1000" b="1">
              <a:solidFill>
                <a:srgbClr val="000000"/>
              </a:solidFill>
              <a:effectLst/>
              <a:latin typeface="Trebuchet MS"/>
              <a:ea typeface="Times New Roman"/>
              <a:cs typeface="Times New Roman"/>
            </a:rPr>
            <a:t>      2.4.3 Personal</a:t>
          </a:r>
        </a:p>
        <a:p>
          <a:pPr marL="457200" indent="-457200" algn="just">
            <a:lnSpc>
              <a:spcPts val="1500"/>
            </a:lnSpc>
            <a:spcBef>
              <a:spcPts val="300"/>
            </a:spcBef>
            <a:spcAft>
              <a:spcPts val="300"/>
            </a:spcAft>
          </a:pP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ts val="1300"/>
            </a:lnSpc>
            <a:spcBef>
              <a:spcPts val="300"/>
            </a:spcBef>
            <a:spcAft>
              <a:spcPts val="300"/>
            </a:spcAf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Presentamos en detalle la partida Gastos de Personal que recogen los diferentes conceptos de coste.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ts val="1200"/>
            </a:lnSpc>
            <a:spcBef>
              <a:spcPts val="300"/>
            </a:spcBef>
            <a:spcAft>
              <a:spcPts val="300"/>
            </a:spcAft>
          </a:pPr>
          <a:r>
            <a:rPr lang="es-ES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342900</xdr:colOff>
      <xdr:row>288</xdr:row>
      <xdr:rowOff>0</xdr:rowOff>
    </xdr:from>
    <xdr:to>
      <xdr:col>6</xdr:col>
      <xdr:colOff>800100</xdr:colOff>
      <xdr:row>291</xdr:row>
      <xdr:rowOff>66674</xdr:rowOff>
    </xdr:to>
    <xdr:sp macro="" textlink="">
      <xdr:nvSpPr>
        <xdr:cNvPr id="66" name="2 Cuadro de texto"/>
        <xdr:cNvSpPr txBox="1"/>
      </xdr:nvSpPr>
      <xdr:spPr>
        <a:xfrm>
          <a:off x="342900" y="58178700"/>
          <a:ext cx="7600950" cy="666749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457200" indent="-457200" algn="just">
            <a:lnSpc>
              <a:spcPts val="1200"/>
            </a:lnSpc>
            <a:spcBef>
              <a:spcPts val="300"/>
            </a:spcBef>
            <a:spcAft>
              <a:spcPts val="300"/>
            </a:spcAft>
          </a:pPr>
          <a:r>
            <a:rPr lang="es-ES_tradnl" sz="1000" b="1" baseline="0">
              <a:solidFill>
                <a:srgbClr val="000000"/>
              </a:solidFill>
              <a:effectLst/>
              <a:latin typeface="Trebuchet MS"/>
              <a:ea typeface="Times New Roman"/>
              <a:cs typeface="Times New Roman"/>
            </a:rPr>
            <a:t>      </a:t>
          </a:r>
          <a:r>
            <a:rPr lang="es-ES_tradnl" sz="1000" b="1">
              <a:solidFill>
                <a:srgbClr val="000000"/>
              </a:solidFill>
              <a:effectLst/>
              <a:latin typeface="Trebuchet MS"/>
              <a:ea typeface="Times New Roman"/>
              <a:cs typeface="Times New Roman"/>
            </a:rPr>
            <a:t>2.4.2 Costes Fijos </a:t>
          </a:r>
          <a:endParaRPr lang="es-ES" sz="1000" b="1">
            <a:solidFill>
              <a:srgbClr val="000000"/>
            </a:solidFill>
            <a:effectLst/>
            <a:latin typeface="Trebuchet MS"/>
            <a:ea typeface="Times New Roman"/>
            <a:cs typeface="Times New Roman"/>
          </a:endParaRPr>
        </a:p>
        <a:p>
          <a:pPr algn="just">
            <a:lnSpc>
              <a:spcPts val="1500"/>
            </a:lnSpc>
            <a:spcBef>
              <a:spcPts val="300"/>
            </a:spcBef>
            <a:spcAft>
              <a:spcPts val="300"/>
            </a:spcAft>
          </a:pPr>
          <a:r>
            <a:rPr lang="es-ES_tradnl" sz="1100">
              <a:effectLst/>
              <a:latin typeface="Arial"/>
              <a:ea typeface="Times New Roman"/>
              <a:cs typeface="Times New Roman"/>
            </a:rPr>
            <a:t> 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ts val="1300"/>
            </a:lnSpc>
            <a:spcBef>
              <a:spcPts val="300"/>
            </a:spcBef>
            <a:spcAft>
              <a:spcPts val="300"/>
            </a:spcAf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Las previsiones que se han realizado respecto a los costes fijos y su evolución durante los cinco primeros años son las siguientes: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lnSpc>
              <a:spcPts val="1200"/>
            </a:lnSpc>
            <a:spcBef>
              <a:spcPts val="300"/>
            </a:spcBef>
            <a:spcAft>
              <a:spcPts val="300"/>
            </a:spcAft>
          </a:pPr>
          <a:r>
            <a:rPr lang="es-ES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714375</xdr:colOff>
      <xdr:row>230</xdr:row>
      <xdr:rowOff>0</xdr:rowOff>
    </xdr:from>
    <xdr:to>
      <xdr:col>7</xdr:col>
      <xdr:colOff>400050</xdr:colOff>
      <xdr:row>236</xdr:row>
      <xdr:rowOff>180974</xdr:rowOff>
    </xdr:to>
    <xdr:sp macro="" textlink="">
      <xdr:nvSpPr>
        <xdr:cNvPr id="69" name="2 Cuadro de texto"/>
        <xdr:cNvSpPr txBox="1"/>
      </xdr:nvSpPr>
      <xdr:spPr>
        <a:xfrm>
          <a:off x="714375" y="46577250"/>
          <a:ext cx="7667625" cy="1381124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457200" indent="-457200" algn="just">
            <a:spcBef>
              <a:spcPts val="1200"/>
            </a:spcBef>
            <a:spcAft>
              <a:spcPts val="1200"/>
            </a:spcAft>
          </a:pPr>
          <a:r>
            <a:rPr lang="es-ES_tradnl" sz="1000" b="1">
              <a:solidFill>
                <a:srgbClr val="000000"/>
              </a:solidFill>
              <a:effectLst/>
              <a:latin typeface="Trebuchet MS"/>
              <a:ea typeface="Times New Roman"/>
              <a:cs typeface="Times New Roman"/>
            </a:rPr>
            <a:t>  2.4 ESTIMACIONES DE COSTES VARIABLES Y FIJOS</a:t>
          </a:r>
          <a:endParaRPr lang="es-ES" sz="1000" b="1">
            <a:solidFill>
              <a:srgbClr val="000000"/>
            </a:solidFill>
            <a:effectLst/>
            <a:latin typeface="Trebuchet MS"/>
            <a:ea typeface="Times New Roman"/>
            <a:cs typeface="Times New Roman"/>
          </a:endParaRP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es-ES" sz="900">
              <a:effectLst/>
              <a:latin typeface="Trebuchet MS"/>
              <a:ea typeface="Times New Roman"/>
              <a:cs typeface="Times New Roman"/>
            </a:rPr>
            <a:t>Para el cálculo de los costes se ha hecho la diferenciación clásica entre costes fijos y costes variables para cada uno de los cinco primeros años de actividad.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marL="457200" indent="-457200" algn="just">
            <a:spcBef>
              <a:spcPts val="1200"/>
            </a:spcBef>
            <a:spcAft>
              <a:spcPts val="1200"/>
            </a:spcAft>
          </a:pPr>
          <a:r>
            <a:rPr lang="es-ES_tradnl" sz="1000" b="1">
              <a:solidFill>
                <a:srgbClr val="000000"/>
              </a:solidFill>
              <a:effectLst/>
              <a:latin typeface="Trebuchet MS"/>
              <a:ea typeface="Times New Roman"/>
              <a:cs typeface="Times New Roman"/>
            </a:rPr>
            <a:t>      2.4.1 Costes Variables</a:t>
          </a:r>
          <a:endParaRPr lang="es-ES" sz="1000" b="1">
            <a:solidFill>
              <a:srgbClr val="000000"/>
            </a:solidFill>
            <a:effectLst/>
            <a:latin typeface="Trebuchet MS"/>
            <a:ea typeface="Times New Roman"/>
            <a:cs typeface="Times New Roman"/>
          </a:endParaRP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es-ES_tradnl" sz="900">
              <a:effectLst/>
              <a:latin typeface="Trebuchet MS"/>
              <a:ea typeface="Times New Roman"/>
              <a:cs typeface="Times New Roman"/>
            </a:rPr>
            <a:t>A continuación se presenta en detalle los costes variables por líneas de actividad.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  <a:p>
          <a:pPr algn="just">
            <a:spcBef>
              <a:spcPts val="300"/>
            </a:spcBef>
            <a:spcAft>
              <a:spcPts val="300"/>
            </a:spcAft>
          </a:pPr>
          <a:r>
            <a:rPr lang="es-ES_tradnl" sz="1100">
              <a:effectLst/>
              <a:latin typeface="Arial"/>
              <a:ea typeface="Times New Roman"/>
              <a:cs typeface="Times New Roman"/>
            </a:rPr>
            <a:t> </a:t>
          </a:r>
          <a:endParaRPr lang="es-ES" sz="11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714375</xdr:colOff>
          <xdr:row>36</xdr:row>
          <xdr:rowOff>114300</xdr:rowOff>
        </xdr:from>
        <xdr:to>
          <xdr:col>4</xdr:col>
          <xdr:colOff>171450</xdr:colOff>
          <xdr:row>51</xdr:row>
          <xdr:rowOff>180975</xdr:rowOff>
        </xdr:to>
        <xdr:sp macro="" textlink="">
          <xdr:nvSpPr>
            <xdr:cNvPr id="67588" name="Group Box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TIPOS APLICABLES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116</xdr:row>
          <xdr:rowOff>9525</xdr:rowOff>
        </xdr:from>
        <xdr:to>
          <xdr:col>1</xdr:col>
          <xdr:colOff>1419225</xdr:colOff>
          <xdr:row>137</xdr:row>
          <xdr:rowOff>104775</xdr:rowOff>
        </xdr:to>
        <xdr:pic>
          <xdr:nvPicPr>
            <xdr:cNvPr id="1674582" name="6 Imagen"/>
            <xdr:cNvPicPr>
              <a:picLocks noChangeAspect="1" noChangeArrowheads="1"/>
              <a:extLst>
                <a:ext uri="{84589F7E-364E-4C9E-8A38-B11213B215E9}">
                  <a14:cameraTool cellRange="Inversiones!$A$2:$D$27" spid="_x0000_s167467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14350" y="23755350"/>
              <a:ext cx="1743075" cy="4295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1362075</xdr:colOff>
          <xdr:row>116</xdr:row>
          <xdr:rowOff>9525</xdr:rowOff>
        </xdr:from>
        <xdr:to>
          <xdr:col>7</xdr:col>
          <xdr:colOff>76200</xdr:colOff>
          <xdr:row>137</xdr:row>
          <xdr:rowOff>104775</xdr:rowOff>
        </xdr:to>
        <xdr:pic>
          <xdr:nvPicPr>
            <xdr:cNvPr id="1674583" name="8 Imagen"/>
            <xdr:cNvPicPr>
              <a:picLocks noChangeAspect="1" noChangeArrowheads="1"/>
              <a:extLst>
                <a:ext uri="{84589F7E-364E-4C9E-8A38-B11213B215E9}">
                  <a14:cameraTool cellRange="Inversiones!$O$2:$W$27" spid="_x0000_s167467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200275" y="23755350"/>
              <a:ext cx="5857875" cy="4295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89</xdr:row>
          <xdr:rowOff>190500</xdr:rowOff>
        </xdr:from>
        <xdr:to>
          <xdr:col>7</xdr:col>
          <xdr:colOff>95250</xdr:colOff>
          <xdr:row>111</xdr:row>
          <xdr:rowOff>19050</xdr:rowOff>
        </xdr:to>
        <xdr:pic>
          <xdr:nvPicPr>
            <xdr:cNvPr id="1674584" name="5 Imagen"/>
            <xdr:cNvPicPr>
              <a:picLocks noChangeAspect="1" noChangeArrowheads="1"/>
              <a:extLst>
                <a:ext uri="{84589F7E-364E-4C9E-8A38-B11213B215E9}">
                  <a14:cameraTool cellRange="Inversiones!$A$2:$N$27" spid="_x0000_s167468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61975" y="18535650"/>
              <a:ext cx="7515225" cy="4229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149</xdr:row>
          <xdr:rowOff>142875</xdr:rowOff>
        </xdr:from>
        <xdr:to>
          <xdr:col>7</xdr:col>
          <xdr:colOff>123825</xdr:colOff>
          <xdr:row>166</xdr:row>
          <xdr:rowOff>38100</xdr:rowOff>
        </xdr:to>
        <xdr:pic>
          <xdr:nvPicPr>
            <xdr:cNvPr id="1674585" name="11 Imagen"/>
            <xdr:cNvPicPr>
              <a:picLocks noChangeAspect="1" noChangeArrowheads="1"/>
              <a:extLst>
                <a:ext uri="{84589F7E-364E-4C9E-8A38-B11213B215E9}">
                  <a14:cameraTool cellRange="'Financiación a lp'!$A$3:$H$27" spid="_x0000_s167468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71500" y="30518100"/>
              <a:ext cx="7534275" cy="32956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177</xdr:row>
          <xdr:rowOff>38100</xdr:rowOff>
        </xdr:from>
        <xdr:to>
          <xdr:col>7</xdr:col>
          <xdr:colOff>781050</xdr:colOff>
          <xdr:row>192</xdr:row>
          <xdr:rowOff>9525</xdr:rowOff>
        </xdr:to>
        <xdr:pic>
          <xdr:nvPicPr>
            <xdr:cNvPr id="1674586" name="30 Imagen"/>
            <xdr:cNvPicPr>
              <a:picLocks noChangeAspect="1" noChangeArrowheads="1"/>
              <a:extLst>
                <a:ext uri="{84589F7E-364E-4C9E-8A38-B11213B215E9}">
                  <a14:cameraTool cellRange="Ventas!$A$2:$T$14" spid="_x0000_s167468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76200" y="36014025"/>
              <a:ext cx="8686800" cy="29718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2</xdr:row>
          <xdr:rowOff>9525</xdr:rowOff>
        </xdr:from>
        <xdr:to>
          <xdr:col>1</xdr:col>
          <xdr:colOff>1228725</xdr:colOff>
          <xdr:row>3</xdr:row>
          <xdr:rowOff>95250</xdr:rowOff>
        </xdr:to>
        <xdr:sp macro="" textlink="">
          <xdr:nvSpPr>
            <xdr:cNvPr id="68263" name="Button 679" hidden="1">
              <a:extLst>
                <a:ext uri="{63B3BB69-23CF-44E3-9099-C40C66FF867C}">
                  <a14:compatExt spid="_x0000_s68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29</xdr:row>
          <xdr:rowOff>142875</xdr:rowOff>
        </xdr:from>
        <xdr:to>
          <xdr:col>6</xdr:col>
          <xdr:colOff>676275</xdr:colOff>
          <xdr:row>34</xdr:row>
          <xdr:rowOff>85725</xdr:rowOff>
        </xdr:to>
        <xdr:sp macro="" textlink="">
          <xdr:nvSpPr>
            <xdr:cNvPr id="67586" name="Group Box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DATOS DE LA EMPRESA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578</xdr:row>
          <xdr:rowOff>152400</xdr:rowOff>
        </xdr:from>
        <xdr:to>
          <xdr:col>7</xdr:col>
          <xdr:colOff>809625</xdr:colOff>
          <xdr:row>580</xdr:row>
          <xdr:rowOff>66675</xdr:rowOff>
        </xdr:to>
        <xdr:pic>
          <xdr:nvPicPr>
            <xdr:cNvPr id="1674587" name="61 Imagen"/>
            <xdr:cNvPicPr>
              <a:picLocks noChangeAspect="1" noChangeArrowheads="1"/>
              <a:extLst>
                <a:ext uri="{84589F7E-364E-4C9E-8A38-B11213B215E9}">
                  <a14:cameraTool cellRange="Ratios!$A$2:$M$2" spid="_x0000_s16746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47625" y="110537625"/>
              <a:ext cx="8743950" cy="314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580</xdr:row>
          <xdr:rowOff>47625</xdr:rowOff>
        </xdr:from>
        <xdr:to>
          <xdr:col>7</xdr:col>
          <xdr:colOff>809625</xdr:colOff>
          <xdr:row>605</xdr:row>
          <xdr:rowOff>57150</xdr:rowOff>
        </xdr:to>
        <xdr:pic>
          <xdr:nvPicPr>
            <xdr:cNvPr id="1674588" name="64 Imagen"/>
            <xdr:cNvPicPr>
              <a:picLocks noChangeAspect="1" noChangeArrowheads="1"/>
              <a:extLst>
                <a:ext uri="{84589F7E-364E-4C9E-8A38-B11213B215E9}">
                  <a14:cameraTool cellRange="Ratios!$A$19:$M$36" spid="_x0000_s167468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47625" y="110832900"/>
              <a:ext cx="8743950" cy="50101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550</xdr:row>
          <xdr:rowOff>190500</xdr:rowOff>
        </xdr:from>
        <xdr:to>
          <xdr:col>7</xdr:col>
          <xdr:colOff>771525</xdr:colOff>
          <xdr:row>576</xdr:row>
          <xdr:rowOff>76200</xdr:rowOff>
        </xdr:to>
        <xdr:pic>
          <xdr:nvPicPr>
            <xdr:cNvPr id="1674590" name="57 Imagen"/>
            <xdr:cNvPicPr>
              <a:picLocks noChangeAspect="1" noChangeArrowheads="1"/>
              <a:extLst>
                <a:ext uri="{84589F7E-364E-4C9E-8A38-B11213B215E9}">
                  <a14:cameraTool cellRange="Ratios!$A$2:$M$18" spid="_x0000_s167468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7625" y="104975025"/>
              <a:ext cx="8705850" cy="50863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521</xdr:row>
          <xdr:rowOff>123825</xdr:rowOff>
        </xdr:from>
        <xdr:to>
          <xdr:col>7</xdr:col>
          <xdr:colOff>628650</xdr:colOff>
          <xdr:row>546</xdr:row>
          <xdr:rowOff>114300</xdr:rowOff>
        </xdr:to>
        <xdr:pic>
          <xdr:nvPicPr>
            <xdr:cNvPr id="1674592" name="54 Imagen"/>
            <xdr:cNvPicPr>
              <a:picLocks noChangeAspect="1" noChangeArrowheads="1"/>
              <a:extLst>
                <a:ext uri="{84589F7E-364E-4C9E-8A38-B11213B215E9}">
                  <a14:cameraTool cellRange="Tesorería!$A$2:$G$28" spid="_x0000_s1674686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114300" y="99107625"/>
              <a:ext cx="8496300" cy="4991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493</xdr:row>
          <xdr:rowOff>47625</xdr:rowOff>
        </xdr:from>
        <xdr:to>
          <xdr:col>7</xdr:col>
          <xdr:colOff>714375</xdr:colOff>
          <xdr:row>518</xdr:row>
          <xdr:rowOff>95250</xdr:rowOff>
        </xdr:to>
        <xdr:pic>
          <xdr:nvPicPr>
            <xdr:cNvPr id="1674594" name="38 Imagen"/>
            <xdr:cNvPicPr>
              <a:picLocks noChangeAspect="1" noChangeArrowheads="1"/>
              <a:extLst>
                <a:ext uri="{84589F7E-364E-4C9E-8A38-B11213B215E9}">
                  <a14:cameraTool cellRange="'Presupuesto de capital'!$A$2:$J$26" spid="_x0000_s1674687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85725" y="93430725"/>
              <a:ext cx="8610600" cy="5048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463</xdr:row>
          <xdr:rowOff>200025</xdr:rowOff>
        </xdr:from>
        <xdr:to>
          <xdr:col>7</xdr:col>
          <xdr:colOff>752475</xdr:colOff>
          <xdr:row>489</xdr:row>
          <xdr:rowOff>47625</xdr:rowOff>
        </xdr:to>
        <xdr:pic>
          <xdr:nvPicPr>
            <xdr:cNvPr id="1674596" name="34 Imagen"/>
            <xdr:cNvPicPr>
              <a:picLocks noChangeAspect="1" noChangeArrowheads="1"/>
              <a:extLst>
                <a:ext uri="{84589F7E-364E-4C9E-8A38-B11213B215E9}">
                  <a14:cameraTool cellRange="Balances!$A$2:$O$38" spid="_x0000_s1674688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85725" y="87582375"/>
              <a:ext cx="8648700" cy="5048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438</xdr:row>
          <xdr:rowOff>66675</xdr:rowOff>
        </xdr:from>
        <xdr:to>
          <xdr:col>7</xdr:col>
          <xdr:colOff>752475</xdr:colOff>
          <xdr:row>459</xdr:row>
          <xdr:rowOff>57150</xdr:rowOff>
        </xdr:to>
        <xdr:pic>
          <xdr:nvPicPr>
            <xdr:cNvPr id="1674598" name="35 Imagen"/>
            <xdr:cNvPicPr>
              <a:picLocks noChangeAspect="1" noChangeArrowheads="1"/>
              <a:extLst>
                <a:ext uri="{84589F7E-364E-4C9E-8A38-B11213B215E9}">
                  <a14:cameraTool cellRange="Resultados!$A$3:$Q$26" spid="_x0000_s1674689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104775" y="82448400"/>
              <a:ext cx="8629650" cy="419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407</xdr:row>
          <xdr:rowOff>190500</xdr:rowOff>
        </xdr:from>
        <xdr:to>
          <xdr:col>5</xdr:col>
          <xdr:colOff>723900</xdr:colOff>
          <xdr:row>431</xdr:row>
          <xdr:rowOff>38100</xdr:rowOff>
        </xdr:to>
        <xdr:pic>
          <xdr:nvPicPr>
            <xdr:cNvPr id="1674600" name="28 Imagen"/>
            <xdr:cNvPicPr>
              <a:picLocks noChangeAspect="1" noChangeArrowheads="1"/>
              <a:extLst>
                <a:ext uri="{84589F7E-364E-4C9E-8A38-B11213B215E9}">
                  <a14:cameraTool cellRange="'Punto de equilibrio'!$A$2:$F$28" spid="_x0000_s1674690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1895475" y="76371450"/>
              <a:ext cx="5133975" cy="46482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376</xdr:row>
          <xdr:rowOff>200025</xdr:rowOff>
        </xdr:from>
        <xdr:to>
          <xdr:col>8</xdr:col>
          <xdr:colOff>0</xdr:colOff>
          <xdr:row>402</xdr:row>
          <xdr:rowOff>76200</xdr:rowOff>
        </xdr:to>
        <xdr:pic>
          <xdr:nvPicPr>
            <xdr:cNvPr id="1674602" name="44 Imagen"/>
            <xdr:cNvPicPr>
              <a:picLocks noChangeAspect="1" noChangeArrowheads="1"/>
              <a:extLst>
                <a:ext uri="{84589F7E-364E-4C9E-8A38-B11213B215E9}">
                  <a14:cameraTool cellRange="Circulantes!$A$3:$T$43" spid="_x0000_s1674691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38100" y="70180200"/>
              <a:ext cx="8782050" cy="50768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322</xdr:row>
          <xdr:rowOff>142875</xdr:rowOff>
        </xdr:from>
        <xdr:to>
          <xdr:col>7</xdr:col>
          <xdr:colOff>723900</xdr:colOff>
          <xdr:row>332</xdr:row>
          <xdr:rowOff>38100</xdr:rowOff>
        </xdr:to>
        <xdr:pic>
          <xdr:nvPicPr>
            <xdr:cNvPr id="1674604" name="28 Imagen"/>
            <xdr:cNvPicPr>
              <a:picLocks noChangeAspect="1" noChangeArrowheads="1"/>
              <a:extLst>
                <a:ext uri="{84589F7E-364E-4C9E-8A38-B11213B215E9}">
                  <a14:cameraTool cellRange="'G. Personal'!$A$3:$U$13" spid="_x0000_s1674692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104775" y="65122425"/>
              <a:ext cx="8601075" cy="1895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332</xdr:row>
          <xdr:rowOff>114300</xdr:rowOff>
        </xdr:from>
        <xdr:to>
          <xdr:col>1</xdr:col>
          <xdr:colOff>390525</xdr:colOff>
          <xdr:row>342</xdr:row>
          <xdr:rowOff>9525</xdr:rowOff>
        </xdr:to>
        <xdr:pic>
          <xdr:nvPicPr>
            <xdr:cNvPr id="1674605" name="30 Imagen"/>
            <xdr:cNvPicPr>
              <a:picLocks noChangeAspect="1" noChangeArrowheads="1"/>
              <a:extLst>
                <a:ext uri="{84589F7E-364E-4C9E-8A38-B11213B215E9}">
                  <a14:cameraTool cellRange="'G. Personal'!$A$3:$A$13" spid="_x0000_s1674693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95250" y="67094100"/>
              <a:ext cx="1133475" cy="1895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332</xdr:row>
          <xdr:rowOff>114300</xdr:rowOff>
        </xdr:from>
        <xdr:to>
          <xdr:col>5</xdr:col>
          <xdr:colOff>190500</xdr:colOff>
          <xdr:row>342</xdr:row>
          <xdr:rowOff>19050</xdr:rowOff>
        </xdr:to>
        <xdr:pic>
          <xdr:nvPicPr>
            <xdr:cNvPr id="1674606" name="32 Imagen"/>
            <xdr:cNvPicPr>
              <a:picLocks noChangeAspect="1" noChangeArrowheads="1"/>
              <a:extLst>
                <a:ext uri="{84589F7E-364E-4C9E-8A38-B11213B215E9}">
                  <a14:cameraTool cellRange="'G. Personal'!$V$3:$AI$13" spid="_x0000_s1674694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1200150" y="67094100"/>
              <a:ext cx="5295900" cy="1905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292</xdr:row>
          <xdr:rowOff>38100</xdr:rowOff>
        </xdr:from>
        <xdr:to>
          <xdr:col>7</xdr:col>
          <xdr:colOff>714375</xdr:colOff>
          <xdr:row>315</xdr:row>
          <xdr:rowOff>95250</xdr:rowOff>
        </xdr:to>
        <xdr:pic>
          <xdr:nvPicPr>
            <xdr:cNvPr id="1674608" name="41 Imagen"/>
            <xdr:cNvPicPr>
              <a:picLocks noChangeAspect="1" noChangeArrowheads="1"/>
              <a:extLst>
                <a:ext uri="{84589F7E-364E-4C9E-8A38-B11213B215E9}">
                  <a14:cameraTool cellRange="'G. Fijos'!$A$2:$J$34" spid="_x0000_s1674695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104775" y="59016900"/>
              <a:ext cx="8591550" cy="4657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258</xdr:row>
          <xdr:rowOff>142875</xdr:rowOff>
        </xdr:from>
        <xdr:to>
          <xdr:col>7</xdr:col>
          <xdr:colOff>762000</xdr:colOff>
          <xdr:row>286</xdr:row>
          <xdr:rowOff>123825</xdr:rowOff>
        </xdr:to>
        <xdr:pic>
          <xdr:nvPicPr>
            <xdr:cNvPr id="1674609" name="20 Imagen"/>
            <xdr:cNvPicPr>
              <a:picLocks noChangeAspect="1" noChangeArrowheads="1"/>
              <a:extLst>
                <a:ext uri="{84589F7E-364E-4C9E-8A38-B11213B215E9}">
                  <a14:cameraTool cellRange="'G. Variables'!$A$3:$T$53" spid="_x0000_s1674696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85725" y="52320825"/>
              <a:ext cx="8658225" cy="55816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237</xdr:row>
          <xdr:rowOff>133350</xdr:rowOff>
        </xdr:from>
        <xdr:to>
          <xdr:col>7</xdr:col>
          <xdr:colOff>304800</xdr:colOff>
          <xdr:row>256</xdr:row>
          <xdr:rowOff>180975</xdr:rowOff>
        </xdr:to>
        <xdr:pic>
          <xdr:nvPicPr>
            <xdr:cNvPr id="1674611" name="22 Imagen"/>
            <xdr:cNvPicPr>
              <a:picLocks noChangeAspect="1" noChangeArrowheads="1"/>
              <a:extLst>
                <a:ext uri="{84589F7E-364E-4C9E-8A38-B11213B215E9}">
                  <a14:cameraTool cellRange="'G. Variables'!$A$54:$H$71" spid="_x0000_s1674697"/>
                </a:ext>
              </a:extLst>
            </xdr:cNvPicPr>
          </xdr:nvPicPr>
          <xdr:blipFill>
            <a:blip xmlns:r="http://schemas.openxmlformats.org/officeDocument/2006/relationships" r:embed="rId22"/>
            <a:srcRect/>
            <a:stretch>
              <a:fillRect/>
            </a:stretch>
          </xdr:blipFill>
          <xdr:spPr bwMode="auto">
            <a:xfrm>
              <a:off x="723900" y="48110775"/>
              <a:ext cx="7562850" cy="3848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203</xdr:row>
          <xdr:rowOff>0</xdr:rowOff>
        </xdr:from>
        <xdr:to>
          <xdr:col>7</xdr:col>
          <xdr:colOff>38100</xdr:colOff>
          <xdr:row>212</xdr:row>
          <xdr:rowOff>19050</xdr:rowOff>
        </xdr:to>
        <xdr:pic>
          <xdr:nvPicPr>
            <xdr:cNvPr id="1674612" name="71 Imagen"/>
            <xdr:cNvPicPr>
              <a:picLocks noChangeAspect="1" noChangeArrowheads="1"/>
              <a:extLst>
                <a:ext uri="{84589F7E-364E-4C9E-8A38-B11213B215E9}">
                  <a14:cameraTool cellRange="Ventas!$A$16:$G$22" spid="_x0000_s1674698"/>
                </a:ext>
              </a:extLst>
            </xdr:cNvPicPr>
          </xdr:nvPicPr>
          <xdr:blipFill>
            <a:blip xmlns:r="http://schemas.openxmlformats.org/officeDocument/2006/relationships" r:embed="rId23"/>
            <a:srcRect/>
            <a:stretch>
              <a:fillRect/>
            </a:stretch>
          </xdr:blipFill>
          <xdr:spPr bwMode="auto">
            <a:xfrm>
              <a:off x="838200" y="41176575"/>
              <a:ext cx="7181850" cy="18192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214</xdr:row>
          <xdr:rowOff>0</xdr:rowOff>
        </xdr:from>
        <xdr:to>
          <xdr:col>7</xdr:col>
          <xdr:colOff>38100</xdr:colOff>
          <xdr:row>223</xdr:row>
          <xdr:rowOff>0</xdr:rowOff>
        </xdr:to>
        <xdr:pic>
          <xdr:nvPicPr>
            <xdr:cNvPr id="1674613" name="73 Imagen"/>
            <xdr:cNvPicPr>
              <a:picLocks noChangeAspect="1" noChangeArrowheads="1"/>
              <a:extLst>
                <a:ext uri="{84589F7E-364E-4C9E-8A38-B11213B215E9}">
                  <a14:cameraTool cellRange="Ventas!$A$24:$G$30" spid="_x0000_s1674699"/>
                </a:ext>
              </a:extLst>
            </xdr:cNvPicPr>
          </xdr:nvPicPr>
          <xdr:blipFill>
            <a:blip xmlns:r="http://schemas.openxmlformats.org/officeDocument/2006/relationships" r:embed="rId24"/>
            <a:srcRect/>
            <a:stretch>
              <a:fillRect/>
            </a:stretch>
          </xdr:blipFill>
          <xdr:spPr bwMode="auto">
            <a:xfrm>
              <a:off x="838200" y="43376850"/>
              <a:ext cx="7181850" cy="18002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0</xdr:row>
          <xdr:rowOff>76200</xdr:rowOff>
        </xdr:from>
        <xdr:to>
          <xdr:col>3</xdr:col>
          <xdr:colOff>1114425</xdr:colOff>
          <xdr:row>0</xdr:row>
          <xdr:rowOff>342900</xdr:rowOff>
        </xdr:to>
        <xdr:sp macro="" textlink="">
          <xdr:nvSpPr>
            <xdr:cNvPr id="58370" name="Butto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0</xdr:row>
          <xdr:rowOff>85725</xdr:rowOff>
        </xdr:from>
        <xdr:to>
          <xdr:col>0</xdr:col>
          <xdr:colOff>1476375</xdr:colOff>
          <xdr:row>1</xdr:row>
          <xdr:rowOff>161925</xdr:rowOff>
        </xdr:to>
        <xdr:sp macro="" textlink="">
          <xdr:nvSpPr>
            <xdr:cNvPr id="59393" name="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104775</xdr:rowOff>
        </xdr:from>
        <xdr:to>
          <xdr:col>1</xdr:col>
          <xdr:colOff>19050</xdr:colOff>
          <xdr:row>0</xdr:row>
          <xdr:rowOff>409575</xdr:rowOff>
        </xdr:to>
        <xdr:sp macro="" textlink="">
          <xdr:nvSpPr>
            <xdr:cNvPr id="60417" name="Butto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447675</xdr:colOff>
          <xdr:row>0</xdr:row>
          <xdr:rowOff>85725</xdr:rowOff>
        </xdr:from>
        <xdr:to>
          <xdr:col>0</xdr:col>
          <xdr:colOff>1638300</xdr:colOff>
          <xdr:row>0</xdr:row>
          <xdr:rowOff>390525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0</xdr:row>
          <xdr:rowOff>57150</xdr:rowOff>
        </xdr:from>
        <xdr:to>
          <xdr:col>0</xdr:col>
          <xdr:colOff>1466850</xdr:colOff>
          <xdr:row>0</xdr:row>
          <xdr:rowOff>361950</xdr:rowOff>
        </xdr:to>
        <xdr:sp macro="" textlink="">
          <xdr:nvSpPr>
            <xdr:cNvPr id="61442" name="Butto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0</xdr:row>
          <xdr:rowOff>104775</xdr:rowOff>
        </xdr:from>
        <xdr:to>
          <xdr:col>0</xdr:col>
          <xdr:colOff>1428750</xdr:colOff>
          <xdr:row>0</xdr:row>
          <xdr:rowOff>409575</xdr:rowOff>
        </xdr:to>
        <xdr:sp macro="" textlink="">
          <xdr:nvSpPr>
            <xdr:cNvPr id="62465" name="Butto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0</xdr:row>
          <xdr:rowOff>47625</xdr:rowOff>
        </xdr:from>
        <xdr:to>
          <xdr:col>1</xdr:col>
          <xdr:colOff>1600200</xdr:colOff>
          <xdr:row>0</xdr:row>
          <xdr:rowOff>352425</xdr:rowOff>
        </xdr:to>
        <xdr:sp macro="" textlink="">
          <xdr:nvSpPr>
            <xdr:cNvPr id="63489" name="Butto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76200</xdr:rowOff>
        </xdr:from>
        <xdr:to>
          <xdr:col>1</xdr:col>
          <xdr:colOff>1381125</xdr:colOff>
          <xdr:row>1</xdr:row>
          <xdr:rowOff>161925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gl-E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Volver al Menú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2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2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2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3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indexed="21"/>
  </sheetPr>
  <dimension ref="A1:G24857"/>
  <sheetViews>
    <sheetView tabSelected="1" zoomScaleNormal="100" workbookViewId="0">
      <selection activeCell="D15" sqref="D15:E15"/>
    </sheetView>
  </sheetViews>
  <sheetFormatPr baseColWidth="10" defaultColWidth="0" defaultRowHeight="16.5"/>
  <cols>
    <col min="1" max="1" width="3.375" style="75" customWidth="1"/>
    <col min="2" max="2" width="24" style="75" customWidth="1"/>
    <col min="3" max="3" width="16.25" style="75" customWidth="1"/>
    <col min="4" max="4" width="10.875" style="528" customWidth="1"/>
    <col min="5" max="5" width="48.25" style="528" customWidth="1"/>
    <col min="6" max="6" width="3.5" style="75" customWidth="1"/>
    <col min="7" max="7" width="8.125" style="75" customWidth="1"/>
    <col min="8" max="16384" width="11" style="75" hidden="1"/>
  </cols>
  <sheetData>
    <row r="1" spans="1:6" ht="11.25" customHeight="1"/>
    <row r="2" spans="1:6" ht="18.75">
      <c r="A2" s="666"/>
      <c r="B2" s="928" t="s">
        <v>512</v>
      </c>
      <c r="C2" s="928"/>
      <c r="D2" s="928"/>
      <c r="E2" s="928"/>
      <c r="F2" s="666"/>
    </row>
    <row r="3" spans="1:6" ht="12" customHeight="1"/>
    <row r="11" spans="1:6" ht="8.25" customHeight="1"/>
    <row r="12" spans="1:6" ht="6" customHeight="1"/>
    <row r="15" spans="1:6" ht="18.75">
      <c r="A15" s="70"/>
      <c r="B15" s="179" t="s">
        <v>509</v>
      </c>
      <c r="C15" s="171"/>
      <c r="D15" s="930"/>
      <c r="E15" s="930"/>
      <c r="F15" s="73"/>
    </row>
    <row r="16" spans="1:6" ht="18.75">
      <c r="A16" s="70"/>
      <c r="B16" s="179" t="s">
        <v>278</v>
      </c>
      <c r="C16" s="171"/>
      <c r="D16" s="931"/>
      <c r="E16" s="931"/>
      <c r="F16" s="73"/>
    </row>
    <row r="17" spans="1:6" ht="18.75">
      <c r="A17" s="70"/>
      <c r="B17" s="179" t="s">
        <v>279</v>
      </c>
      <c r="C17" s="171"/>
      <c r="D17" s="931"/>
      <c r="E17" s="931"/>
      <c r="F17" s="73"/>
    </row>
    <row r="18" spans="1:6" ht="10.5" customHeight="1">
      <c r="A18" s="70"/>
      <c r="B18" s="171"/>
      <c r="C18" s="171"/>
      <c r="D18" s="171"/>
      <c r="E18" s="171"/>
      <c r="F18" s="73"/>
    </row>
    <row r="19" spans="1:6" ht="8.25" customHeight="1">
      <c r="A19" s="70"/>
      <c r="B19" s="171"/>
      <c r="C19" s="171"/>
      <c r="D19" s="171"/>
      <c r="E19" s="171"/>
      <c r="F19" s="73"/>
    </row>
    <row r="20" spans="1:6" ht="18.75">
      <c r="A20" s="70"/>
      <c r="B20" s="171"/>
      <c r="C20" s="171"/>
      <c r="D20" s="171"/>
      <c r="E20" s="171"/>
      <c r="F20" s="73"/>
    </row>
    <row r="21" spans="1:6" ht="18.75">
      <c r="A21" s="70"/>
      <c r="B21" s="171" t="s">
        <v>280</v>
      </c>
      <c r="C21" s="171"/>
      <c r="D21" s="674">
        <v>0.21</v>
      </c>
      <c r="E21" s="171"/>
      <c r="F21" s="73"/>
    </row>
    <row r="22" spans="1:6" ht="18.75">
      <c r="A22" s="70"/>
      <c r="B22" s="171" t="s">
        <v>310</v>
      </c>
      <c r="C22" s="171"/>
      <c r="D22" s="675">
        <v>0.21</v>
      </c>
      <c r="E22" s="171"/>
      <c r="F22" s="73"/>
    </row>
    <row r="23" spans="1:6" ht="18.75">
      <c r="A23" s="70"/>
      <c r="B23" s="171" t="s">
        <v>311</v>
      </c>
      <c r="C23" s="171"/>
      <c r="D23" s="675">
        <v>0.21</v>
      </c>
      <c r="E23" s="171"/>
      <c r="F23" s="73"/>
    </row>
    <row r="24" spans="1:6" ht="12" customHeight="1">
      <c r="A24" s="70"/>
      <c r="B24" s="171"/>
      <c r="C24" s="171"/>
      <c r="D24" s="664"/>
      <c r="E24" s="171"/>
      <c r="F24" s="73"/>
    </row>
    <row r="25" spans="1:6" ht="18.75">
      <c r="A25" s="70"/>
      <c r="B25" s="171" t="s">
        <v>312</v>
      </c>
      <c r="C25" s="171"/>
      <c r="D25" s="674">
        <v>0.21</v>
      </c>
      <c r="E25" s="171"/>
      <c r="F25" s="73"/>
    </row>
    <row r="26" spans="1:6" ht="9.75" customHeight="1">
      <c r="A26" s="70"/>
      <c r="B26" s="171"/>
      <c r="C26" s="171"/>
      <c r="D26" s="664"/>
      <c r="E26" s="171"/>
      <c r="F26" s="73"/>
    </row>
    <row r="27" spans="1:6" ht="18.75">
      <c r="A27" s="70"/>
      <c r="B27" s="171" t="s">
        <v>309</v>
      </c>
      <c r="C27" s="171"/>
      <c r="D27" s="674">
        <v>0.3</v>
      </c>
      <c r="E27" s="171"/>
      <c r="F27" s="73"/>
    </row>
    <row r="28" spans="1:6" ht="18.75">
      <c r="A28" s="70"/>
      <c r="B28" s="171" t="s">
        <v>308</v>
      </c>
      <c r="C28" s="171"/>
      <c r="D28" s="674">
        <v>0.33</v>
      </c>
      <c r="E28" s="171"/>
      <c r="F28" s="73"/>
    </row>
    <row r="29" spans="1:6" ht="9" customHeight="1">
      <c r="A29" s="70"/>
      <c r="B29" s="171"/>
      <c r="C29" s="171"/>
      <c r="D29" s="171"/>
      <c r="E29" s="171"/>
      <c r="F29" s="73"/>
    </row>
    <row r="30" spans="1:6" ht="18.75">
      <c r="A30" s="70"/>
      <c r="B30" s="171" t="s">
        <v>281</v>
      </c>
      <c r="C30" s="171"/>
      <c r="D30" s="674">
        <v>0.25</v>
      </c>
      <c r="E30" s="171"/>
      <c r="F30" s="73"/>
    </row>
    <row r="31" spans="1:6" ht="18.75">
      <c r="A31" s="70"/>
      <c r="B31" s="171" t="s">
        <v>282</v>
      </c>
      <c r="C31" s="62"/>
      <c r="D31" s="675">
        <v>0.1</v>
      </c>
      <c r="E31" s="73"/>
      <c r="F31" s="73"/>
    </row>
    <row r="32" spans="1:6" ht="7.5" customHeight="1">
      <c r="A32" s="70"/>
      <c r="B32" s="171"/>
      <c r="C32" s="62"/>
      <c r="D32" s="115"/>
      <c r="E32" s="73"/>
      <c r="F32" s="73"/>
    </row>
    <row r="33" spans="1:6" ht="18.75">
      <c r="A33" s="70"/>
      <c r="B33" s="171" t="s">
        <v>283</v>
      </c>
      <c r="C33" s="62"/>
      <c r="D33" s="927">
        <v>0</v>
      </c>
      <c r="E33" s="73"/>
      <c r="F33" s="73"/>
    </row>
    <row r="34" spans="1:6" ht="10.5" customHeight="1">
      <c r="A34" s="70"/>
      <c r="B34" s="70"/>
      <c r="C34" s="70"/>
      <c r="D34" s="73"/>
      <c r="E34" s="73"/>
      <c r="F34" s="73"/>
    </row>
    <row r="36" spans="1:6" ht="18.75">
      <c r="B36" s="929" t="s">
        <v>395</v>
      </c>
      <c r="C36" s="929"/>
      <c r="D36" s="929"/>
      <c r="E36" s="929"/>
    </row>
    <row r="38" spans="1:6" ht="18">
      <c r="B38" s="665" t="s">
        <v>396</v>
      </c>
      <c r="C38" s="667"/>
      <c r="D38" s="932" t="s">
        <v>399</v>
      </c>
      <c r="E38" s="932"/>
    </row>
    <row r="39" spans="1:6" ht="18">
      <c r="B39" s="665" t="s">
        <v>397</v>
      </c>
      <c r="C39" s="668"/>
      <c r="D39" s="932" t="s">
        <v>400</v>
      </c>
      <c r="E39" s="932"/>
    </row>
    <row r="40" spans="1:6" ht="18">
      <c r="B40" s="932" t="s">
        <v>398</v>
      </c>
      <c r="C40" s="669"/>
      <c r="D40" s="932" t="s">
        <v>401</v>
      </c>
      <c r="E40" s="932"/>
    </row>
    <row r="41" spans="1:6" ht="18">
      <c r="B41" s="932"/>
      <c r="C41" s="670"/>
      <c r="D41" s="932"/>
      <c r="E41" s="932"/>
    </row>
    <row r="42" spans="1:6" ht="18">
      <c r="B42" s="932"/>
      <c r="C42" s="671"/>
      <c r="D42" s="932"/>
      <c r="E42" s="932"/>
    </row>
    <row r="43" spans="1:6" ht="18">
      <c r="B43" s="932"/>
      <c r="C43" s="672"/>
      <c r="D43" s="932"/>
      <c r="E43" s="932"/>
    </row>
    <row r="44" spans="1:6" ht="18">
      <c r="B44" s="932"/>
      <c r="C44" s="673"/>
      <c r="D44" s="932"/>
      <c r="E44" s="932"/>
    </row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</sheetData>
  <sheetProtection password="A6E9" sheet="1"/>
  <mergeCells count="9">
    <mergeCell ref="B2:E2"/>
    <mergeCell ref="B36:E36"/>
    <mergeCell ref="D15:E15"/>
    <mergeCell ref="D16:E16"/>
    <mergeCell ref="D17:E17"/>
    <mergeCell ref="B40:B44"/>
    <mergeCell ref="D40:E44"/>
    <mergeCell ref="D38:E38"/>
    <mergeCell ref="D39:E39"/>
  </mergeCells>
  <phoneticPr fontId="47" type="noConversion"/>
  <printOptions horizontalCentered="1" verticalCentered="1"/>
  <pageMargins left="0.70866141732283472" right="0.70866141732283472" top="0.98425196850393704" bottom="0.74803149606299213" header="0.47244094488188981" footer="0.31496062992125984"/>
  <pageSetup paperSize="9" scale="94" orientation="landscape" blackAndWhite="1" r:id="rId1"/>
  <headerFoot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Group Box 5">
              <controlPr defaultSize="0" print="0" autoFill="0" autoPict="0">
                <anchor>
                  <from>
                    <xdr:col>0</xdr:col>
                    <xdr:colOff>171450</xdr:colOff>
                    <xdr:row>3</xdr:row>
                    <xdr:rowOff>0</xdr:rowOff>
                  </from>
                  <to>
                    <xdr:col>5</xdr:col>
                    <xdr:colOff>28575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Group Box 9">
              <controlPr defaultSize="0" autoFill="0" autoPict="0">
                <anchor moveWithCells="1">
                  <from>
                    <xdr:col>0</xdr:col>
                    <xdr:colOff>152400</xdr:colOff>
                    <xdr:row>12</xdr:row>
                    <xdr:rowOff>76200</xdr:rowOff>
                  </from>
                  <to>
                    <xdr:col>5</xdr:col>
                    <xdr:colOff>38100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6" name="Group Box 11">
              <controlPr defaultSize="0" autoFill="0" autoPict="0">
                <anchor moveWithCells="1">
                  <from>
                    <xdr:col>0</xdr:col>
                    <xdr:colOff>123825</xdr:colOff>
                    <xdr:row>19</xdr:row>
                    <xdr:rowOff>76200</xdr:rowOff>
                  </from>
                  <to>
                    <xdr:col>4</xdr:col>
                    <xdr:colOff>152400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7" name="Button 18">
              <controlPr defaultSize="0" print="0" autoFill="0" autoPict="0" macro="[0]!Financiación">
                <anchor>
                  <from>
                    <xdr:col>1</xdr:col>
                    <xdr:colOff>1685925</xdr:colOff>
                    <xdr:row>3</xdr:row>
                    <xdr:rowOff>200025</xdr:rowOff>
                  </from>
                  <to>
                    <xdr:col>2</xdr:col>
                    <xdr:colOff>1047750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8" name="Button 20">
              <controlPr defaultSize="0" print="0" autoFill="0" autoPict="0" macro="[0]!Gastos">
                <anchor>
                  <from>
                    <xdr:col>4</xdr:col>
                    <xdr:colOff>447675</xdr:colOff>
                    <xdr:row>3</xdr:row>
                    <xdr:rowOff>200025</xdr:rowOff>
                  </from>
                  <to>
                    <xdr:col>4</xdr:col>
                    <xdr:colOff>1638300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9" name="Button 21">
              <controlPr defaultSize="0" print="0" autoFill="0" autoPict="0" macro="[0]!vENTAS">
                <anchor>
                  <from>
                    <xdr:col>2</xdr:col>
                    <xdr:colOff>1181100</xdr:colOff>
                    <xdr:row>3</xdr:row>
                    <xdr:rowOff>200025</xdr:rowOff>
                  </from>
                  <to>
                    <xdr:col>4</xdr:col>
                    <xdr:colOff>295275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0" name="Button 22">
              <controlPr defaultSize="0" print="0" autoFill="0" autoPict="0" macro="[0]!GastosPersonal">
                <anchor>
                  <from>
                    <xdr:col>4</xdr:col>
                    <xdr:colOff>1800225</xdr:colOff>
                    <xdr:row>3</xdr:row>
                    <xdr:rowOff>200025</xdr:rowOff>
                  </from>
                  <to>
                    <xdr:col>4</xdr:col>
                    <xdr:colOff>2990850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1" name="Button 23">
              <controlPr defaultSize="0" print="0" autoFill="0" autoPict="0" macro="[0]!GastosFijos">
                <anchor>
                  <from>
                    <xdr:col>1</xdr:col>
                    <xdr:colOff>371475</xdr:colOff>
                    <xdr:row>5</xdr:row>
                    <xdr:rowOff>171450</xdr:rowOff>
                  </from>
                  <to>
                    <xdr:col>1</xdr:col>
                    <xdr:colOff>1562100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2" name="Button 24">
              <controlPr defaultSize="0" print="0" autoFill="0" autoPict="0" macro="[0]!Resultados">
                <anchor>
                  <from>
                    <xdr:col>1</xdr:col>
                    <xdr:colOff>1685925</xdr:colOff>
                    <xdr:row>5</xdr:row>
                    <xdr:rowOff>180975</xdr:rowOff>
                  </from>
                  <to>
                    <xdr:col>2</xdr:col>
                    <xdr:colOff>1047750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3" name="Button 25">
              <controlPr defaultSize="0" print="0" autoFill="0" autoPict="0" macro="[0]!Circulante">
                <anchor>
                  <from>
                    <xdr:col>2</xdr:col>
                    <xdr:colOff>1181100</xdr:colOff>
                    <xdr:row>5</xdr:row>
                    <xdr:rowOff>180975</xdr:rowOff>
                  </from>
                  <to>
                    <xdr:col>4</xdr:col>
                    <xdr:colOff>295275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4" name="Button 26">
              <controlPr defaultSize="0" print="0" autoFill="0" autoPict="0" macro="[0]!Balances">
                <anchor>
                  <from>
                    <xdr:col>4</xdr:col>
                    <xdr:colOff>438150</xdr:colOff>
                    <xdr:row>5</xdr:row>
                    <xdr:rowOff>171450</xdr:rowOff>
                  </from>
                  <to>
                    <xdr:col>4</xdr:col>
                    <xdr:colOff>1628775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5" name="Button 27">
              <controlPr defaultSize="0" print="0" autoFill="0" autoPict="0" macro="[0]!PresupuestoCapital">
                <anchor>
                  <from>
                    <xdr:col>4</xdr:col>
                    <xdr:colOff>1809750</xdr:colOff>
                    <xdr:row>5</xdr:row>
                    <xdr:rowOff>190500</xdr:rowOff>
                  </from>
                  <to>
                    <xdr:col>4</xdr:col>
                    <xdr:colOff>3000375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6" name="Button 28">
              <controlPr defaultSize="0" print="0" autoFill="0" autoPict="0" macro="[0]!Tesoreria">
                <anchor>
                  <from>
                    <xdr:col>1</xdr:col>
                    <xdr:colOff>371475</xdr:colOff>
                    <xdr:row>7</xdr:row>
                    <xdr:rowOff>171450</xdr:rowOff>
                  </from>
                  <to>
                    <xdr:col>1</xdr:col>
                    <xdr:colOff>1562100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7" name="Button 29">
              <controlPr defaultSize="0" print="0" autoFill="0" autoPict="0" macro="[0]!Ratios">
                <anchor>
                  <from>
                    <xdr:col>1</xdr:col>
                    <xdr:colOff>1695450</xdr:colOff>
                    <xdr:row>7</xdr:row>
                    <xdr:rowOff>180975</xdr:rowOff>
                  </from>
                  <to>
                    <xdr:col>2</xdr:col>
                    <xdr:colOff>1057275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8" name="Button 30">
              <controlPr defaultSize="0" print="0" autoFill="0" autoPict="0" macro="[0]!PuntoEquilibrio">
                <anchor>
                  <from>
                    <xdr:col>2</xdr:col>
                    <xdr:colOff>1190625</xdr:colOff>
                    <xdr:row>7</xdr:row>
                    <xdr:rowOff>180975</xdr:rowOff>
                  </from>
                  <to>
                    <xdr:col>4</xdr:col>
                    <xdr:colOff>304800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9" name="Group Box 31">
              <controlPr defaultSize="0" print="0" autoFill="0" autoPict="0">
                <anchor>
                  <from>
                    <xdr:col>4</xdr:col>
                    <xdr:colOff>504825</xdr:colOff>
                    <xdr:row>7</xdr:row>
                    <xdr:rowOff>190500</xdr:rowOff>
                  </from>
                  <to>
                    <xdr:col>4</xdr:col>
                    <xdr:colOff>2971800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0" name="Button 40">
              <controlPr defaultSize="0" print="0" autoFill="0" autoPict="0" macro="[0]!PlanInversiones">
                <anchor>
                  <from>
                    <xdr:col>1</xdr:col>
                    <xdr:colOff>371475</xdr:colOff>
                    <xdr:row>3</xdr:row>
                    <xdr:rowOff>200025</xdr:rowOff>
                  </from>
                  <to>
                    <xdr:col>1</xdr:col>
                    <xdr:colOff>1562100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21" name="Button 180">
              <controlPr defaultSize="0" print="0" autoFill="0" autoPict="0" macro="[0]!INFORME">
                <anchor>
                  <from>
                    <xdr:col>4</xdr:col>
                    <xdr:colOff>971550</xdr:colOff>
                    <xdr:row>8</xdr:row>
                    <xdr:rowOff>95250</xdr:rowOff>
                  </from>
                  <to>
                    <xdr:col>4</xdr:col>
                    <xdr:colOff>2486025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2:AB53"/>
  <sheetViews>
    <sheetView showGridLines="0" showZeros="0" zoomScale="80" zoomScaleNormal="80" workbookViewId="0">
      <selection activeCell="E6" sqref="E6"/>
    </sheetView>
  </sheetViews>
  <sheetFormatPr baseColWidth="10" defaultColWidth="0" defaultRowHeight="18"/>
  <cols>
    <col min="1" max="1" width="1.75" style="62" customWidth="1"/>
    <col min="2" max="2" width="36.5" style="62" bestFit="1" customWidth="1"/>
    <col min="3" max="3" width="9.5" style="62" customWidth="1"/>
    <col min="4" max="4" width="12" style="62" hidden="1" customWidth="1"/>
    <col min="5" max="5" width="10.75" style="62" customWidth="1"/>
    <col min="6" max="6" width="8.5" style="62" customWidth="1"/>
    <col min="7" max="7" width="10.5" style="62" customWidth="1"/>
    <col min="8" max="8" width="9.125" style="62" bestFit="1" customWidth="1"/>
    <col min="9" max="9" width="9.375" style="62" customWidth="1"/>
    <col min="10" max="10" width="10.125" style="62" customWidth="1"/>
    <col min="11" max="11" width="10.5" style="62" customWidth="1"/>
    <col min="12" max="12" width="9" style="62" customWidth="1"/>
    <col min="13" max="13" width="10.5" style="62" customWidth="1"/>
    <col min="14" max="14" width="9" style="62" bestFit="1" customWidth="1"/>
    <col min="15" max="15" width="8.375" style="62" customWidth="1"/>
    <col min="16" max="16" width="8.125" style="62" customWidth="1"/>
    <col min="17" max="17" width="9.125" style="62" bestFit="1" customWidth="1"/>
    <col min="18" max="19" width="9.25" style="62" customWidth="1"/>
    <col min="20" max="20" width="9" style="62" bestFit="1" customWidth="1"/>
    <col min="21" max="23" width="8.125" style="62" bestFit="1" customWidth="1"/>
    <col min="24" max="24" width="9.125" style="62" customWidth="1"/>
    <col min="25" max="25" width="8.875" style="62" customWidth="1"/>
    <col min="26" max="27" width="9" style="62" customWidth="1"/>
    <col min="28" max="28" width="9.5" style="62" customWidth="1"/>
    <col min="29" max="29" width="11.25" style="62" customWidth="1"/>
    <col min="30" max="16384" width="0" style="62" hidden="1"/>
  </cols>
  <sheetData>
    <row r="2" spans="1:27" ht="18.75" thickBot="1"/>
    <row r="3" spans="1:27" ht="33" customHeight="1" thickBot="1">
      <c r="A3" s="712" t="s">
        <v>48</v>
      </c>
      <c r="B3" s="713"/>
      <c r="C3" s="713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5"/>
      <c r="U3" s="202"/>
      <c r="V3" s="202"/>
    </row>
    <row r="4" spans="1:27" ht="33" customHeight="1">
      <c r="A4" s="1066" t="s">
        <v>253</v>
      </c>
      <c r="B4" s="1067"/>
      <c r="C4" s="1068"/>
      <c r="D4" s="709"/>
      <c r="E4" s="1035" t="s">
        <v>60</v>
      </c>
      <c r="F4" s="1036"/>
      <c r="G4" s="1037"/>
      <c r="H4" s="1035" t="s">
        <v>61</v>
      </c>
      <c r="I4" s="1036"/>
      <c r="J4" s="1037"/>
      <c r="K4" s="1035" t="s">
        <v>62</v>
      </c>
      <c r="L4" s="1036"/>
      <c r="M4" s="1037"/>
      <c r="N4" s="1035" t="s">
        <v>176</v>
      </c>
      <c r="O4" s="1036"/>
      <c r="P4" s="1037"/>
      <c r="Q4" s="1035" t="s">
        <v>177</v>
      </c>
      <c r="R4" s="1036"/>
      <c r="S4" s="1038"/>
      <c r="T4" s="705"/>
      <c r="U4" s="705"/>
      <c r="V4" s="705"/>
      <c r="W4" s="705"/>
      <c r="X4" s="705"/>
      <c r="Y4" s="705"/>
      <c r="Z4" s="202"/>
      <c r="AA4" s="202"/>
    </row>
    <row r="5" spans="1:27" ht="33" customHeight="1">
      <c r="A5" s="1066"/>
      <c r="B5" s="1067"/>
      <c r="C5" s="1068"/>
      <c r="D5" s="710"/>
      <c r="E5" s="730" t="s">
        <v>501</v>
      </c>
      <c r="F5" s="752" t="s">
        <v>502</v>
      </c>
      <c r="G5" s="711" t="s">
        <v>505</v>
      </c>
      <c r="H5" s="730" t="s">
        <v>501</v>
      </c>
      <c r="I5" s="732" t="s">
        <v>502</v>
      </c>
      <c r="J5" s="711" t="s">
        <v>505</v>
      </c>
      <c r="K5" s="730" t="s">
        <v>501</v>
      </c>
      <c r="L5" s="732" t="s">
        <v>502</v>
      </c>
      <c r="M5" s="711" t="s">
        <v>505</v>
      </c>
      <c r="N5" s="730" t="s">
        <v>501</v>
      </c>
      <c r="O5" s="732" t="s">
        <v>502</v>
      </c>
      <c r="P5" s="711" t="s">
        <v>505</v>
      </c>
      <c r="Q5" s="730" t="s">
        <v>501</v>
      </c>
      <c r="R5" s="732" t="s">
        <v>502</v>
      </c>
      <c r="S5" s="716" t="s">
        <v>505</v>
      </c>
      <c r="T5" s="705"/>
      <c r="U5" s="705"/>
      <c r="V5" s="705"/>
      <c r="W5" s="705"/>
      <c r="X5" s="705"/>
      <c r="Y5" s="705"/>
      <c r="Z5" s="202"/>
      <c r="AA5" s="202"/>
    </row>
    <row r="6" spans="1:27" ht="33" customHeight="1">
      <c r="A6" s="717" t="s">
        <v>3</v>
      </c>
      <c r="B6" s="1069" t="s">
        <v>493</v>
      </c>
      <c r="C6" s="1070"/>
      <c r="D6" s="707"/>
      <c r="E6" s="877"/>
      <c r="F6" s="878"/>
      <c r="G6" s="886">
        <f t="shared" ref="G6:G11" si="0">H19</f>
        <v>0</v>
      </c>
      <c r="H6" s="877"/>
      <c r="I6" s="879">
        <f t="shared" ref="I6:I12" si="1">F6</f>
        <v>0</v>
      </c>
      <c r="J6" s="886">
        <f t="shared" ref="J6:J11" si="2">K19</f>
        <v>0</v>
      </c>
      <c r="K6" s="877"/>
      <c r="L6" s="879">
        <f t="shared" ref="L6:L12" si="3">I6</f>
        <v>0</v>
      </c>
      <c r="M6" s="886">
        <f t="shared" ref="M6:M11" si="4">N19</f>
        <v>0</v>
      </c>
      <c r="N6" s="877"/>
      <c r="O6" s="879">
        <f t="shared" ref="O6:O12" si="5">L6</f>
        <v>0</v>
      </c>
      <c r="P6" s="886">
        <f t="shared" ref="P6:P11" si="6">Q19</f>
        <v>0</v>
      </c>
      <c r="Q6" s="877"/>
      <c r="R6" s="879">
        <f t="shared" ref="R6:R12" si="7">O6</f>
        <v>0</v>
      </c>
      <c r="S6" s="886">
        <f t="shared" ref="S6:S11" si="8">T19</f>
        <v>0</v>
      </c>
      <c r="T6" s="707"/>
      <c r="U6" s="707"/>
      <c r="V6" s="707"/>
      <c r="W6" s="707"/>
      <c r="X6" s="707"/>
      <c r="Y6" s="707"/>
    </row>
    <row r="7" spans="1:27" ht="33" customHeight="1">
      <c r="A7" s="708" t="s">
        <v>3</v>
      </c>
      <c r="B7" s="1054" t="s">
        <v>494</v>
      </c>
      <c r="C7" s="1055"/>
      <c r="D7" s="707"/>
      <c r="E7" s="598"/>
      <c r="F7" s="880"/>
      <c r="G7" s="886">
        <f t="shared" si="0"/>
        <v>0</v>
      </c>
      <c r="H7" s="598"/>
      <c r="I7" s="881">
        <f t="shared" si="1"/>
        <v>0</v>
      </c>
      <c r="J7" s="886">
        <f t="shared" si="2"/>
        <v>0</v>
      </c>
      <c r="K7" s="598"/>
      <c r="L7" s="881">
        <f t="shared" si="3"/>
        <v>0</v>
      </c>
      <c r="M7" s="886">
        <f t="shared" si="4"/>
        <v>0</v>
      </c>
      <c r="N7" s="598"/>
      <c r="O7" s="881">
        <f t="shared" si="5"/>
        <v>0</v>
      </c>
      <c r="P7" s="886">
        <f t="shared" si="6"/>
        <v>0</v>
      </c>
      <c r="Q7" s="598"/>
      <c r="R7" s="881">
        <f t="shared" si="7"/>
        <v>0</v>
      </c>
      <c r="S7" s="886">
        <f t="shared" si="8"/>
        <v>0</v>
      </c>
      <c r="T7" s="707"/>
      <c r="U7" s="707"/>
      <c r="V7" s="707"/>
      <c r="W7" s="707"/>
      <c r="X7" s="707"/>
      <c r="Y7" s="707"/>
    </row>
    <row r="8" spans="1:27" ht="33" customHeight="1">
      <c r="A8" s="708" t="s">
        <v>3</v>
      </c>
      <c r="B8" s="1054" t="s">
        <v>495</v>
      </c>
      <c r="C8" s="1055"/>
      <c r="D8" s="707"/>
      <c r="E8" s="598"/>
      <c r="F8" s="880"/>
      <c r="G8" s="886">
        <f t="shared" si="0"/>
        <v>0</v>
      </c>
      <c r="H8" s="598"/>
      <c r="I8" s="881">
        <f t="shared" si="1"/>
        <v>0</v>
      </c>
      <c r="J8" s="886">
        <f t="shared" si="2"/>
        <v>0</v>
      </c>
      <c r="K8" s="598"/>
      <c r="L8" s="881">
        <f t="shared" si="3"/>
        <v>0</v>
      </c>
      <c r="M8" s="886">
        <f t="shared" si="4"/>
        <v>0</v>
      </c>
      <c r="N8" s="598"/>
      <c r="O8" s="881">
        <f t="shared" si="5"/>
        <v>0</v>
      </c>
      <c r="P8" s="886">
        <f t="shared" si="6"/>
        <v>0</v>
      </c>
      <c r="Q8" s="598"/>
      <c r="R8" s="881">
        <f t="shared" si="7"/>
        <v>0</v>
      </c>
      <c r="S8" s="886">
        <f t="shared" si="8"/>
        <v>0</v>
      </c>
      <c r="T8" s="707"/>
      <c r="U8" s="707"/>
      <c r="V8" s="707"/>
      <c r="W8" s="707"/>
      <c r="X8" s="707"/>
      <c r="Y8" s="707"/>
    </row>
    <row r="9" spans="1:27" ht="33" customHeight="1">
      <c r="A9" s="708" t="s">
        <v>3</v>
      </c>
      <c r="B9" s="1054" t="s">
        <v>496</v>
      </c>
      <c r="C9" s="1055"/>
      <c r="D9" s="707"/>
      <c r="E9" s="598"/>
      <c r="F9" s="880"/>
      <c r="G9" s="886">
        <f t="shared" si="0"/>
        <v>0</v>
      </c>
      <c r="H9" s="598"/>
      <c r="I9" s="881">
        <f t="shared" si="1"/>
        <v>0</v>
      </c>
      <c r="J9" s="886">
        <f t="shared" si="2"/>
        <v>0</v>
      </c>
      <c r="K9" s="598"/>
      <c r="L9" s="881">
        <f t="shared" si="3"/>
        <v>0</v>
      </c>
      <c r="M9" s="886">
        <f t="shared" si="4"/>
        <v>0</v>
      </c>
      <c r="N9" s="598"/>
      <c r="O9" s="881">
        <f t="shared" si="5"/>
        <v>0</v>
      </c>
      <c r="P9" s="886">
        <f t="shared" si="6"/>
        <v>0</v>
      </c>
      <c r="Q9" s="598"/>
      <c r="R9" s="881">
        <f t="shared" si="7"/>
        <v>0</v>
      </c>
      <c r="S9" s="886">
        <f t="shared" si="8"/>
        <v>0</v>
      </c>
      <c r="T9" s="707"/>
      <c r="U9" s="707"/>
      <c r="V9" s="707"/>
      <c r="W9" s="707"/>
      <c r="X9" s="707"/>
      <c r="Y9" s="707"/>
    </row>
    <row r="10" spans="1:27" ht="33" customHeight="1">
      <c r="A10" s="708" t="s">
        <v>3</v>
      </c>
      <c r="B10" s="1054" t="s">
        <v>497</v>
      </c>
      <c r="C10" s="1055"/>
      <c r="D10" s="707"/>
      <c r="E10" s="598"/>
      <c r="F10" s="880"/>
      <c r="G10" s="886">
        <f t="shared" si="0"/>
        <v>0</v>
      </c>
      <c r="H10" s="598"/>
      <c r="I10" s="881">
        <f t="shared" si="1"/>
        <v>0</v>
      </c>
      <c r="J10" s="886">
        <f t="shared" si="2"/>
        <v>0</v>
      </c>
      <c r="K10" s="598"/>
      <c r="L10" s="881">
        <f t="shared" si="3"/>
        <v>0</v>
      </c>
      <c r="M10" s="886">
        <f t="shared" si="4"/>
        <v>0</v>
      </c>
      <c r="N10" s="598"/>
      <c r="O10" s="881">
        <f t="shared" si="5"/>
        <v>0</v>
      </c>
      <c r="P10" s="886">
        <f t="shared" si="6"/>
        <v>0</v>
      </c>
      <c r="Q10" s="598"/>
      <c r="R10" s="881">
        <f t="shared" si="7"/>
        <v>0</v>
      </c>
      <c r="S10" s="886">
        <f t="shared" si="8"/>
        <v>0</v>
      </c>
      <c r="T10" s="707"/>
      <c r="U10" s="707"/>
      <c r="V10" s="707"/>
      <c r="W10" s="707"/>
      <c r="X10" s="707"/>
      <c r="Y10" s="707"/>
    </row>
    <row r="11" spans="1:27" ht="33" customHeight="1">
      <c r="A11" s="708" t="s">
        <v>3</v>
      </c>
      <c r="B11" s="1054" t="s">
        <v>498</v>
      </c>
      <c r="C11" s="1055"/>
      <c r="D11" s="707"/>
      <c r="E11" s="598"/>
      <c r="F11" s="880"/>
      <c r="G11" s="886">
        <f t="shared" si="0"/>
        <v>0</v>
      </c>
      <c r="H11" s="598"/>
      <c r="I11" s="881">
        <f t="shared" si="1"/>
        <v>0</v>
      </c>
      <c r="J11" s="886">
        <f t="shared" si="2"/>
        <v>0</v>
      </c>
      <c r="K11" s="598"/>
      <c r="L11" s="881">
        <f t="shared" si="3"/>
        <v>0</v>
      </c>
      <c r="M11" s="886">
        <f t="shared" si="4"/>
        <v>0</v>
      </c>
      <c r="N11" s="598"/>
      <c r="O11" s="881">
        <f t="shared" si="5"/>
        <v>0</v>
      </c>
      <c r="P11" s="886">
        <f t="shared" si="6"/>
        <v>0</v>
      </c>
      <c r="Q11" s="598"/>
      <c r="R11" s="881">
        <f t="shared" si="7"/>
        <v>0</v>
      </c>
      <c r="S11" s="886">
        <f t="shared" si="8"/>
        <v>0</v>
      </c>
      <c r="T11" s="707"/>
      <c r="U11" s="707"/>
      <c r="V11" s="707"/>
      <c r="W11" s="707"/>
      <c r="X11" s="707"/>
      <c r="Y11" s="707"/>
    </row>
    <row r="12" spans="1:27" ht="33" customHeight="1">
      <c r="A12" s="708" t="s">
        <v>3</v>
      </c>
      <c r="B12" s="1054" t="s">
        <v>503</v>
      </c>
      <c r="C12" s="1055"/>
      <c r="D12" s="707"/>
      <c r="E12" s="598"/>
      <c r="F12" s="880"/>
      <c r="G12" s="886">
        <f>H31</f>
        <v>0</v>
      </c>
      <c r="H12" s="598"/>
      <c r="I12" s="881">
        <f t="shared" si="1"/>
        <v>0</v>
      </c>
      <c r="J12" s="886">
        <f>K31</f>
        <v>0</v>
      </c>
      <c r="K12" s="598"/>
      <c r="L12" s="881">
        <f t="shared" si="3"/>
        <v>0</v>
      </c>
      <c r="M12" s="886">
        <f>N31</f>
        <v>0</v>
      </c>
      <c r="N12" s="598"/>
      <c r="O12" s="881">
        <f t="shared" si="5"/>
        <v>0</v>
      </c>
      <c r="P12" s="886">
        <f>Q31</f>
        <v>0</v>
      </c>
      <c r="Q12" s="598"/>
      <c r="R12" s="881">
        <f t="shared" si="7"/>
        <v>0</v>
      </c>
      <c r="S12" s="886">
        <f>T31</f>
        <v>0</v>
      </c>
      <c r="T12" s="707"/>
      <c r="U12" s="707"/>
      <c r="V12" s="707"/>
      <c r="W12" s="707"/>
      <c r="X12" s="707"/>
      <c r="Y12" s="707"/>
    </row>
    <row r="13" spans="1:27" ht="33" customHeight="1">
      <c r="A13" s="708" t="s">
        <v>3</v>
      </c>
      <c r="B13" s="1054" t="s">
        <v>499</v>
      </c>
      <c r="C13" s="1055"/>
      <c r="D13" s="707"/>
      <c r="E13" s="884"/>
      <c r="F13" s="885"/>
      <c r="G13" s="886">
        <f>E13</f>
        <v>0</v>
      </c>
      <c r="H13" s="882">
        <f>E13</f>
        <v>0</v>
      </c>
      <c r="I13" s="885"/>
      <c r="J13" s="886">
        <f>H13</f>
        <v>0</v>
      </c>
      <c r="K13" s="882">
        <f>H13</f>
        <v>0</v>
      </c>
      <c r="L13" s="885"/>
      <c r="M13" s="886">
        <f>K13</f>
        <v>0</v>
      </c>
      <c r="N13" s="882">
        <f>K13</f>
        <v>0</v>
      </c>
      <c r="O13" s="885"/>
      <c r="P13" s="886">
        <f>N13</f>
        <v>0</v>
      </c>
      <c r="Q13" s="882">
        <f>N13</f>
        <v>0</v>
      </c>
      <c r="R13" s="885"/>
      <c r="S13" s="886">
        <f>Q13</f>
        <v>0</v>
      </c>
      <c r="T13" s="707"/>
      <c r="U13" s="707"/>
      <c r="V13" s="707"/>
      <c r="W13" s="707"/>
      <c r="X13" s="707"/>
      <c r="Y13" s="707"/>
    </row>
    <row r="14" spans="1:27" ht="33" customHeight="1">
      <c r="A14" s="708" t="s">
        <v>3</v>
      </c>
      <c r="B14" s="1054" t="s">
        <v>500</v>
      </c>
      <c r="C14" s="1055"/>
      <c r="D14" s="707"/>
      <c r="E14" s="884"/>
      <c r="F14" s="885"/>
      <c r="G14" s="886">
        <f>E14</f>
        <v>0</v>
      </c>
      <c r="H14" s="882">
        <f>E14</f>
        <v>0</v>
      </c>
      <c r="I14" s="885"/>
      <c r="J14" s="886">
        <f>H14</f>
        <v>0</v>
      </c>
      <c r="K14" s="882">
        <f>H14</f>
        <v>0</v>
      </c>
      <c r="L14" s="885"/>
      <c r="M14" s="886">
        <f>K14</f>
        <v>0</v>
      </c>
      <c r="N14" s="882">
        <f>K14</f>
        <v>0</v>
      </c>
      <c r="O14" s="885"/>
      <c r="P14" s="886">
        <f>N14</f>
        <v>0</v>
      </c>
      <c r="Q14" s="882">
        <f>N14</f>
        <v>0</v>
      </c>
      <c r="R14" s="885"/>
      <c r="S14" s="887">
        <f>Q14</f>
        <v>0</v>
      </c>
      <c r="T14" s="707"/>
      <c r="U14" s="707"/>
      <c r="V14" s="707"/>
      <c r="W14" s="707"/>
      <c r="X14" s="707"/>
      <c r="Y14" s="707"/>
    </row>
    <row r="15" spans="1:27" ht="33" customHeight="1" thickBot="1">
      <c r="A15" s="718" t="s">
        <v>3</v>
      </c>
      <c r="B15" s="1056" t="s">
        <v>504</v>
      </c>
      <c r="C15" s="1057"/>
      <c r="D15" s="719"/>
      <c r="E15" s="888"/>
      <c r="F15" s="889"/>
      <c r="G15" s="890">
        <f>E15</f>
        <v>0</v>
      </c>
      <c r="H15" s="883">
        <f>E15</f>
        <v>0</v>
      </c>
      <c r="I15" s="889"/>
      <c r="J15" s="890">
        <f>H15</f>
        <v>0</v>
      </c>
      <c r="K15" s="883">
        <f>H15</f>
        <v>0</v>
      </c>
      <c r="L15" s="889"/>
      <c r="M15" s="890">
        <f>K15</f>
        <v>0</v>
      </c>
      <c r="N15" s="883">
        <f>K15</f>
        <v>0</v>
      </c>
      <c r="O15" s="889"/>
      <c r="P15" s="890">
        <f>N15</f>
        <v>0</v>
      </c>
      <c r="Q15" s="883">
        <f>N15</f>
        <v>0</v>
      </c>
      <c r="R15" s="889"/>
      <c r="S15" s="891">
        <f>Q15</f>
        <v>0</v>
      </c>
      <c r="T15" s="707"/>
      <c r="U15" s="707"/>
      <c r="V15" s="707"/>
      <c r="W15" s="707"/>
      <c r="X15" s="707"/>
      <c r="Y15" s="707"/>
    </row>
    <row r="16" spans="1:27" ht="33" customHeight="1">
      <c r="A16" s="706"/>
      <c r="B16" s="707"/>
      <c r="C16" s="707"/>
      <c r="D16" s="707"/>
      <c r="E16" s="707"/>
      <c r="F16" s="707"/>
      <c r="G16" s="707"/>
      <c r="H16" s="707"/>
      <c r="I16" s="707"/>
      <c r="J16" s="707"/>
      <c r="K16" s="707"/>
      <c r="L16" s="707"/>
      <c r="M16" s="707"/>
      <c r="N16" s="707"/>
      <c r="O16" s="707"/>
      <c r="P16" s="707"/>
      <c r="Q16" s="707"/>
      <c r="R16" s="707"/>
      <c r="S16" s="707"/>
      <c r="T16" s="707"/>
    </row>
    <row r="17" spans="1:20" s="71" customFormat="1" ht="40.5" hidden="1" customHeight="1">
      <c r="A17" s="1064" t="s">
        <v>49</v>
      </c>
      <c r="B17" s="1065"/>
      <c r="C17" s="203"/>
      <c r="D17" s="652" t="s">
        <v>465</v>
      </c>
      <c r="E17" s="652" t="s">
        <v>466</v>
      </c>
      <c r="F17" s="1031" t="s">
        <v>60</v>
      </c>
      <c r="G17" s="1032"/>
      <c r="H17" s="1033"/>
      <c r="I17" s="1031" t="s">
        <v>61</v>
      </c>
      <c r="J17" s="1032"/>
      <c r="K17" s="1033"/>
      <c r="L17" s="1031" t="s">
        <v>62</v>
      </c>
      <c r="M17" s="1032"/>
      <c r="N17" s="1033"/>
      <c r="O17" s="1031" t="s">
        <v>176</v>
      </c>
      <c r="P17" s="1032"/>
      <c r="Q17" s="1033"/>
      <c r="R17" s="1031" t="s">
        <v>177</v>
      </c>
      <c r="S17" s="1032"/>
      <c r="T17" s="1034"/>
    </row>
    <row r="18" spans="1:20" s="71" customFormat="1" ht="33" hidden="1">
      <c r="A18" s="1066" t="s">
        <v>253</v>
      </c>
      <c r="B18" s="1067"/>
      <c r="C18" s="1068"/>
      <c r="D18" s="205" t="s">
        <v>171</v>
      </c>
      <c r="E18" s="205" t="s">
        <v>171</v>
      </c>
      <c r="F18" s="206" t="s">
        <v>252</v>
      </c>
      <c r="G18" s="204" t="s">
        <v>254</v>
      </c>
      <c r="H18" s="207" t="s">
        <v>171</v>
      </c>
      <c r="I18" s="206" t="s">
        <v>252</v>
      </c>
      <c r="J18" s="204" t="s">
        <v>254</v>
      </c>
      <c r="K18" s="207" t="s">
        <v>171</v>
      </c>
      <c r="L18" s="206" t="s">
        <v>252</v>
      </c>
      <c r="M18" s="204" t="s">
        <v>254</v>
      </c>
      <c r="N18" s="207" t="s">
        <v>171</v>
      </c>
      <c r="O18" s="206" t="s">
        <v>252</v>
      </c>
      <c r="P18" s="204" t="s">
        <v>254</v>
      </c>
      <c r="Q18" s="207" t="s">
        <v>171</v>
      </c>
      <c r="R18" s="206" t="s">
        <v>252</v>
      </c>
      <c r="S18" s="204" t="s">
        <v>254</v>
      </c>
      <c r="T18" s="208" t="s">
        <v>171</v>
      </c>
    </row>
    <row r="19" spans="1:20" s="179" customFormat="1" ht="15" hidden="1">
      <c r="A19" s="192" t="s">
        <v>2</v>
      </c>
      <c r="B19" s="171" t="s">
        <v>140</v>
      </c>
      <c r="C19" s="171"/>
      <c r="D19" s="171">
        <f>'Balance inicial'!D27</f>
        <v>0</v>
      </c>
      <c r="E19" s="157">
        <f>Inversiones!G24</f>
        <v>0</v>
      </c>
      <c r="F19" s="209">
        <f>'G. Variables'!D5+'G. Variables'!D15+'G. Variables'!D25+'G. Variables'!D35+'G. Variables'!D45</f>
        <v>0</v>
      </c>
      <c r="G19" s="721">
        <f t="shared" ref="G19:G24" si="9">F6</f>
        <v>0</v>
      </c>
      <c r="H19" s="210">
        <f t="shared" ref="H19:H24" si="10">F19/365*G19</f>
        <v>0</v>
      </c>
      <c r="I19" s="209">
        <f>'G. Variables'!H5+'G. Variables'!H15+'G. Variables'!H25+'G. Variables'!H35+'G. Variables'!H45</f>
        <v>0</v>
      </c>
      <c r="J19" s="721">
        <f t="shared" ref="J19:J24" si="11">I6</f>
        <v>0</v>
      </c>
      <c r="K19" s="210">
        <f t="shared" ref="K19:K24" si="12">I19/365*J19</f>
        <v>0</v>
      </c>
      <c r="L19" s="209">
        <f>'G. Variables'!L5+'G. Variables'!L15+'G. Variables'!L25+'G. Variables'!L35+'G. Variables'!L45</f>
        <v>0</v>
      </c>
      <c r="M19" s="721">
        <f t="shared" ref="M19:M24" si="13">L6</f>
        <v>0</v>
      </c>
      <c r="N19" s="210">
        <f t="shared" ref="N19:N24" si="14">L19/365*M19</f>
        <v>0</v>
      </c>
      <c r="O19" s="209">
        <f>'G. Variables'!P5+'G. Variables'!P15+'G. Variables'!P25+'G. Variables'!P35+'G. Variables'!P45</f>
        <v>0</v>
      </c>
      <c r="P19" s="721">
        <f t="shared" ref="P19:P24" si="15">O6</f>
        <v>0</v>
      </c>
      <c r="Q19" s="210">
        <f t="shared" ref="Q19:Q24" si="16">O19/365*P19</f>
        <v>0</v>
      </c>
      <c r="R19" s="209">
        <f>'G. Variables'!T5+'G. Variables'!T15+'G. Variables'!T25+'G. Variables'!T35+'G. Variables'!T45</f>
        <v>0</v>
      </c>
      <c r="S19" s="721">
        <f t="shared" ref="S19:S24" si="17">R6</f>
        <v>0</v>
      </c>
      <c r="T19" s="211">
        <f t="shared" ref="T19:T24" si="18">R19/365*S19</f>
        <v>0</v>
      </c>
    </row>
    <row r="20" spans="1:20" s="179" customFormat="1" ht="15" hidden="1">
      <c r="A20" s="192" t="s">
        <v>2</v>
      </c>
      <c r="B20" s="171" t="s">
        <v>317</v>
      </c>
      <c r="C20" s="171"/>
      <c r="D20" s="171">
        <f>'Balance inicial'!D28</f>
        <v>0</v>
      </c>
      <c r="E20" s="157">
        <f>Inversiones!G25</f>
        <v>0</v>
      </c>
      <c r="F20" s="209">
        <f>'G. Variables'!D6+'G. Variables'!D16+'G. Variables'!D26+'G. Variables'!D36+'G. Variables'!D46</f>
        <v>0</v>
      </c>
      <c r="G20" s="721">
        <f t="shared" si="9"/>
        <v>0</v>
      </c>
      <c r="H20" s="210">
        <f t="shared" si="10"/>
        <v>0</v>
      </c>
      <c r="I20" s="209">
        <f>'G. Variables'!H6+'G. Variables'!H16+'G. Variables'!H26+'G. Variables'!H36+'G. Variables'!H46</f>
        <v>0</v>
      </c>
      <c r="J20" s="721">
        <f t="shared" si="11"/>
        <v>0</v>
      </c>
      <c r="K20" s="210">
        <f t="shared" si="12"/>
        <v>0</v>
      </c>
      <c r="L20" s="209">
        <f>'G. Variables'!L6+'G. Variables'!L16+'G. Variables'!L26+'G. Variables'!L36+'G. Variables'!L46</f>
        <v>0</v>
      </c>
      <c r="M20" s="721">
        <f t="shared" si="13"/>
        <v>0</v>
      </c>
      <c r="N20" s="210">
        <f t="shared" si="14"/>
        <v>0</v>
      </c>
      <c r="O20" s="209">
        <f>'G. Variables'!P6+'G. Variables'!P16+'G. Variables'!P26+'G. Variables'!P36+'G. Variables'!P46</f>
        <v>0</v>
      </c>
      <c r="P20" s="721">
        <f t="shared" si="15"/>
        <v>0</v>
      </c>
      <c r="Q20" s="210">
        <f t="shared" si="16"/>
        <v>0</v>
      </c>
      <c r="R20" s="209">
        <f>'G. Variables'!T6+'G. Variables'!T16+'G. Variables'!T26+'G. Variables'!T36+'G. Variables'!T46</f>
        <v>0</v>
      </c>
      <c r="S20" s="721">
        <f t="shared" si="17"/>
        <v>0</v>
      </c>
      <c r="T20" s="211">
        <f t="shared" si="18"/>
        <v>0</v>
      </c>
    </row>
    <row r="21" spans="1:20" s="171" customFormat="1" ht="15" hidden="1">
      <c r="A21" s="193" t="s">
        <v>2</v>
      </c>
      <c r="B21" s="171" t="s">
        <v>239</v>
      </c>
      <c r="D21" s="171">
        <f>'Balance inicial'!D29</f>
        <v>0</v>
      </c>
      <c r="E21" s="720"/>
      <c r="F21" s="209">
        <f>((F23-F20)/2)+F20</f>
        <v>0</v>
      </c>
      <c r="G21" s="721">
        <f t="shared" si="9"/>
        <v>0</v>
      </c>
      <c r="H21" s="210">
        <f t="shared" si="10"/>
        <v>0</v>
      </c>
      <c r="I21" s="209">
        <f>((I23-I20)/2)+I20</f>
        <v>0</v>
      </c>
      <c r="J21" s="721">
        <f t="shared" si="11"/>
        <v>0</v>
      </c>
      <c r="K21" s="210">
        <f t="shared" si="12"/>
        <v>0</v>
      </c>
      <c r="L21" s="209">
        <f>((L23-L20)/2)+L20</f>
        <v>0</v>
      </c>
      <c r="M21" s="721">
        <f t="shared" si="13"/>
        <v>0</v>
      </c>
      <c r="N21" s="210">
        <f t="shared" si="14"/>
        <v>0</v>
      </c>
      <c r="O21" s="209">
        <f>((O23-O20)/2)+O20</f>
        <v>0</v>
      </c>
      <c r="P21" s="721">
        <f t="shared" si="15"/>
        <v>0</v>
      </c>
      <c r="Q21" s="210">
        <f t="shared" si="16"/>
        <v>0</v>
      </c>
      <c r="R21" s="209">
        <f>((R23-R20)/2)+R20</f>
        <v>0</v>
      </c>
      <c r="S21" s="721">
        <f t="shared" si="17"/>
        <v>0</v>
      </c>
      <c r="T21" s="211">
        <f t="shared" si="18"/>
        <v>0</v>
      </c>
    </row>
    <row r="22" spans="1:20" s="171" customFormat="1" ht="15" hidden="1">
      <c r="A22" s="193" t="s">
        <v>2</v>
      </c>
      <c r="B22" s="171" t="s">
        <v>50</v>
      </c>
      <c r="D22" s="171">
        <f>'Balance inicial'!D30</f>
        <v>0</v>
      </c>
      <c r="E22" s="720"/>
      <c r="F22" s="209">
        <f>'G. Variables'!D8+'G. Variables'!D18+'G. Variables'!D28+'G. Variables'!D38+'G. Variables'!D48</f>
        <v>0</v>
      </c>
      <c r="G22" s="721">
        <f t="shared" si="9"/>
        <v>0</v>
      </c>
      <c r="H22" s="210">
        <f t="shared" si="10"/>
        <v>0</v>
      </c>
      <c r="I22" s="209">
        <f>'G. Variables'!H8+'G. Variables'!H18+'G. Variables'!H28+'G. Variables'!H38+'G. Variables'!H48</f>
        <v>0</v>
      </c>
      <c r="J22" s="721">
        <f t="shared" si="11"/>
        <v>0</v>
      </c>
      <c r="K22" s="210">
        <f t="shared" si="12"/>
        <v>0</v>
      </c>
      <c r="L22" s="209">
        <f>'G. Variables'!L8+'G. Variables'!L18+'G. Variables'!L28+'G. Variables'!L38+'G. Variables'!L48</f>
        <v>0</v>
      </c>
      <c r="M22" s="721">
        <f t="shared" si="13"/>
        <v>0</v>
      </c>
      <c r="N22" s="210">
        <f t="shared" si="14"/>
        <v>0</v>
      </c>
      <c r="O22" s="209">
        <f>'G. Variables'!P8+'G. Variables'!P18+'G. Variables'!P28+'G. Variables'!P38+'G. Variables'!P48</f>
        <v>0</v>
      </c>
      <c r="P22" s="721">
        <f t="shared" si="15"/>
        <v>0</v>
      </c>
      <c r="Q22" s="210">
        <f t="shared" si="16"/>
        <v>0</v>
      </c>
      <c r="R22" s="209">
        <f>'G. Variables'!T8+'G. Variables'!T18+'G. Variables'!T28+'G. Variables'!T38+'G. Variables'!T48</f>
        <v>0</v>
      </c>
      <c r="S22" s="721">
        <f t="shared" si="17"/>
        <v>0</v>
      </c>
      <c r="T22" s="211">
        <f t="shared" si="18"/>
        <v>0</v>
      </c>
    </row>
    <row r="23" spans="1:20" s="171" customFormat="1" ht="15" hidden="1">
      <c r="A23" s="193" t="s">
        <v>2</v>
      </c>
      <c r="B23" s="171" t="s">
        <v>51</v>
      </c>
      <c r="D23" s="171">
        <f>'Balance inicial'!D31</f>
        <v>0</v>
      </c>
      <c r="E23" s="720"/>
      <c r="F23" s="209">
        <f>'G. Variables'!B123</f>
        <v>0</v>
      </c>
      <c r="G23" s="721">
        <f t="shared" si="9"/>
        <v>0</v>
      </c>
      <c r="H23" s="210">
        <f t="shared" si="10"/>
        <v>0</v>
      </c>
      <c r="I23" s="209">
        <f>'G. Variables'!C123</f>
        <v>0</v>
      </c>
      <c r="J23" s="721">
        <f t="shared" si="11"/>
        <v>0</v>
      </c>
      <c r="K23" s="210">
        <f t="shared" si="12"/>
        <v>0</v>
      </c>
      <c r="L23" s="209">
        <f>'G. Variables'!D123</f>
        <v>0</v>
      </c>
      <c r="M23" s="721">
        <f t="shared" si="13"/>
        <v>0</v>
      </c>
      <c r="N23" s="210">
        <f t="shared" si="14"/>
        <v>0</v>
      </c>
      <c r="O23" s="209">
        <f>'G. Variables'!E123</f>
        <v>0</v>
      </c>
      <c r="P23" s="721">
        <f t="shared" si="15"/>
        <v>0</v>
      </c>
      <c r="Q23" s="210">
        <f t="shared" si="16"/>
        <v>0</v>
      </c>
      <c r="R23" s="209">
        <f>'G. Variables'!F123</f>
        <v>0</v>
      </c>
      <c r="S23" s="721">
        <f t="shared" si="17"/>
        <v>0</v>
      </c>
      <c r="T23" s="211">
        <f t="shared" si="18"/>
        <v>0</v>
      </c>
    </row>
    <row r="24" spans="1:20" s="171" customFormat="1" ht="15" hidden="1">
      <c r="A24" s="193" t="s">
        <v>2</v>
      </c>
      <c r="B24" s="171" t="s">
        <v>52</v>
      </c>
      <c r="D24" s="171">
        <f>'Balance inicial'!D32</f>
        <v>0</v>
      </c>
      <c r="E24" s="720"/>
      <c r="F24" s="209">
        <f>Ventas!C30</f>
        <v>0</v>
      </c>
      <c r="G24" s="721">
        <f t="shared" si="9"/>
        <v>0</v>
      </c>
      <c r="H24" s="210">
        <f t="shared" si="10"/>
        <v>0</v>
      </c>
      <c r="I24" s="209">
        <f>Ventas!D30</f>
        <v>0</v>
      </c>
      <c r="J24" s="721">
        <f t="shared" si="11"/>
        <v>0</v>
      </c>
      <c r="K24" s="210">
        <f t="shared" si="12"/>
        <v>0</v>
      </c>
      <c r="L24" s="209">
        <f>Ventas!E30</f>
        <v>0</v>
      </c>
      <c r="M24" s="721">
        <f t="shared" si="13"/>
        <v>0</v>
      </c>
      <c r="N24" s="210">
        <f t="shared" si="14"/>
        <v>0</v>
      </c>
      <c r="O24" s="209">
        <f>Ventas!F30</f>
        <v>0</v>
      </c>
      <c r="P24" s="721">
        <f t="shared" si="15"/>
        <v>0</v>
      </c>
      <c r="Q24" s="210">
        <f t="shared" si="16"/>
        <v>0</v>
      </c>
      <c r="R24" s="209">
        <f>Ventas!G30</f>
        <v>0</v>
      </c>
      <c r="S24" s="721">
        <f t="shared" si="17"/>
        <v>0</v>
      </c>
      <c r="T24" s="211">
        <f t="shared" si="18"/>
        <v>0</v>
      </c>
    </row>
    <row r="25" spans="1:20" s="171" customFormat="1" ht="15" hidden="1">
      <c r="A25" s="193" t="s">
        <v>2</v>
      </c>
      <c r="B25" s="171" t="s">
        <v>240</v>
      </c>
      <c r="D25" s="171">
        <f>'Balance inicial'!D34</f>
        <v>0</v>
      </c>
      <c r="E25" s="157">
        <f>Inversiones!G27</f>
        <v>0</v>
      </c>
      <c r="F25" s="209">
        <f>-SUM(C49:C51)</f>
        <v>0</v>
      </c>
      <c r="G25" s="721"/>
      <c r="H25" s="210">
        <f>IF($H$52&gt;0,$H$52,0)</f>
        <v>0</v>
      </c>
      <c r="I25" s="209">
        <f>-SUM(I49:I51)</f>
        <v>0</v>
      </c>
      <c r="J25" s="721"/>
      <c r="K25" s="210">
        <f>IF($M$52&gt;0,$M$52,0)</f>
        <v>0</v>
      </c>
      <c r="L25" s="209">
        <f>-SUM(N49:N51)</f>
        <v>0</v>
      </c>
      <c r="M25" s="721"/>
      <c r="N25" s="210">
        <f>IF($R$52&gt;0,$R$52,0)</f>
        <v>0</v>
      </c>
      <c r="O25" s="209">
        <f>-SUM(S49:S51)</f>
        <v>0</v>
      </c>
      <c r="P25" s="721"/>
      <c r="Q25" s="210">
        <f>IF($W$52&gt;0,$W$52,0)</f>
        <v>0</v>
      </c>
      <c r="R25" s="209">
        <f>-SUM(X49:X51)</f>
        <v>0</v>
      </c>
      <c r="S25" s="721"/>
      <c r="T25" s="211">
        <f>IF($AB$52&gt;0,$AB$52,0)</f>
        <v>0</v>
      </c>
    </row>
    <row r="26" spans="1:20" s="171" customFormat="1" ht="15" hidden="1">
      <c r="A26" s="193" t="s">
        <v>2</v>
      </c>
      <c r="B26" s="171" t="s">
        <v>173</v>
      </c>
      <c r="D26" s="171">
        <f>SUM('Balance inicial'!D35:D38)+'Balance inicial'!D33</f>
        <v>0</v>
      </c>
      <c r="E26" s="720"/>
      <c r="F26" s="209"/>
      <c r="H26" s="210">
        <f>E13</f>
        <v>0</v>
      </c>
      <c r="I26" s="209"/>
      <c r="K26" s="210">
        <f>H13</f>
        <v>0</v>
      </c>
      <c r="L26" s="209"/>
      <c r="N26" s="210">
        <f>K13</f>
        <v>0</v>
      </c>
      <c r="O26" s="209"/>
      <c r="Q26" s="210">
        <f>N13</f>
        <v>0</v>
      </c>
      <c r="R26" s="209"/>
      <c r="T26" s="211">
        <f>Q13</f>
        <v>0</v>
      </c>
    </row>
    <row r="27" spans="1:20" s="171" customFormat="1" ht="15" hidden="1">
      <c r="A27" s="193" t="s">
        <v>2</v>
      </c>
      <c r="B27" s="171" t="s">
        <v>270</v>
      </c>
      <c r="E27" s="722"/>
      <c r="F27" s="209"/>
      <c r="H27" s="210">
        <f>E14</f>
        <v>0</v>
      </c>
      <c r="I27" s="209"/>
      <c r="K27" s="210">
        <f>H14</f>
        <v>0</v>
      </c>
      <c r="L27" s="209"/>
      <c r="N27" s="210">
        <f>K14</f>
        <v>0</v>
      </c>
      <c r="O27" s="209"/>
      <c r="Q27" s="210">
        <f>N14</f>
        <v>0</v>
      </c>
      <c r="R27" s="209"/>
      <c r="T27" s="211">
        <f>Q14</f>
        <v>0</v>
      </c>
    </row>
    <row r="28" spans="1:20" s="71" customFormat="1" ht="33" hidden="1" customHeight="1">
      <c r="A28" s="77"/>
      <c r="B28" s="723" t="s">
        <v>1</v>
      </c>
      <c r="C28" s="723"/>
      <c r="D28" s="724">
        <f>SUM(D19:D27)</f>
        <v>0</v>
      </c>
      <c r="E28" s="724">
        <f>SUM(E19:E27)</f>
        <v>0</v>
      </c>
      <c r="F28" s="725"/>
      <c r="G28" s="726"/>
      <c r="H28" s="727">
        <f>SUM(H19:H27)</f>
        <v>0</v>
      </c>
      <c r="I28" s="725"/>
      <c r="J28" s="726"/>
      <c r="K28" s="727">
        <f>SUM(K19:K27)</f>
        <v>0</v>
      </c>
      <c r="L28" s="725"/>
      <c r="M28" s="726"/>
      <c r="N28" s="727">
        <f>SUM(N19:N27)</f>
        <v>0</v>
      </c>
      <c r="O28" s="725"/>
      <c r="P28" s="726"/>
      <c r="Q28" s="727">
        <f>SUM(Q19:Q27)</f>
        <v>0</v>
      </c>
      <c r="R28" s="725"/>
      <c r="S28" s="726"/>
      <c r="T28" s="728">
        <f>SUM(T19:T27)</f>
        <v>0</v>
      </c>
    </row>
    <row r="29" spans="1:20" s="71" customFormat="1" ht="33" hidden="1" customHeight="1">
      <c r="A29" s="1045" t="s">
        <v>54</v>
      </c>
      <c r="B29" s="1046"/>
      <c r="C29" s="213"/>
      <c r="D29" s="213"/>
      <c r="E29" s="214"/>
      <c r="F29" s="215"/>
      <c r="G29" s="216"/>
      <c r="H29" s="217"/>
      <c r="I29" s="215"/>
      <c r="J29" s="216"/>
      <c r="K29" s="217"/>
      <c r="L29" s="215"/>
      <c r="M29" s="216"/>
      <c r="N29" s="217"/>
      <c r="O29" s="215"/>
      <c r="P29" s="216"/>
      <c r="Q29" s="217"/>
      <c r="R29" s="215"/>
      <c r="S29" s="216"/>
      <c r="T29" s="218"/>
    </row>
    <row r="30" spans="1:20" s="71" customFormat="1" ht="33" hidden="1" customHeight="1">
      <c r="A30" s="77"/>
      <c r="B30" s="204" t="s">
        <v>253</v>
      </c>
      <c r="C30" s="204"/>
      <c r="D30" s="204"/>
      <c r="E30" s="205" t="s">
        <v>171</v>
      </c>
      <c r="F30" s="206" t="s">
        <v>252</v>
      </c>
      <c r="G30" s="204" t="s">
        <v>254</v>
      </c>
      <c r="H30" s="207" t="s">
        <v>171</v>
      </c>
      <c r="I30" s="206" t="s">
        <v>252</v>
      </c>
      <c r="J30" s="204" t="s">
        <v>254</v>
      </c>
      <c r="K30" s="207" t="s">
        <v>171</v>
      </c>
      <c r="L30" s="206" t="s">
        <v>252</v>
      </c>
      <c r="M30" s="204" t="s">
        <v>254</v>
      </c>
      <c r="N30" s="207" t="s">
        <v>171</v>
      </c>
      <c r="O30" s="206" t="s">
        <v>252</v>
      </c>
      <c r="P30" s="204" t="s">
        <v>254</v>
      </c>
      <c r="Q30" s="207" t="s">
        <v>171</v>
      </c>
      <c r="R30" s="206" t="s">
        <v>252</v>
      </c>
      <c r="S30" s="204" t="s">
        <v>254</v>
      </c>
      <c r="T30" s="208" t="s">
        <v>171</v>
      </c>
    </row>
    <row r="31" spans="1:20" s="171" customFormat="1" ht="15" hidden="1">
      <c r="A31" s="193" t="s">
        <v>2</v>
      </c>
      <c r="B31" s="171" t="s">
        <v>175</v>
      </c>
      <c r="D31" s="171">
        <f>'Balance inicial'!I30</f>
        <v>0</v>
      </c>
      <c r="E31" s="720"/>
      <c r="F31" s="209">
        <f>'G. Variables'!D70+'G. Fijos'!B5</f>
        <v>0</v>
      </c>
      <c r="G31" s="721">
        <f>F12</f>
        <v>0</v>
      </c>
      <c r="H31" s="210">
        <f>F31/365*G31</f>
        <v>0</v>
      </c>
      <c r="I31" s="209">
        <f>'G. Variables'!E70+'G. Fijos'!D5</f>
        <v>0</v>
      </c>
      <c r="J31" s="721">
        <f>I12</f>
        <v>0</v>
      </c>
      <c r="K31" s="210">
        <f>I31/365*J31</f>
        <v>0</v>
      </c>
      <c r="L31" s="209">
        <f>'G. Variables'!F70+'G. Fijos'!F5</f>
        <v>0</v>
      </c>
      <c r="M31" s="721">
        <f>L12</f>
        <v>0</v>
      </c>
      <c r="N31" s="210">
        <f>L31/365*M31</f>
        <v>0</v>
      </c>
      <c r="O31" s="209">
        <f>'G. Variables'!G70+'G. Fijos'!H5</f>
        <v>0</v>
      </c>
      <c r="P31" s="721">
        <f>O12</f>
        <v>0</v>
      </c>
      <c r="Q31" s="210">
        <f>O31/365*P31</f>
        <v>0</v>
      </c>
      <c r="R31" s="209">
        <f>'G. Variables'!H70+'G. Fijos'!J5</f>
        <v>0</v>
      </c>
      <c r="S31" s="721">
        <f>R12</f>
        <v>0</v>
      </c>
      <c r="T31" s="211">
        <f>R31/365*S31</f>
        <v>0</v>
      </c>
    </row>
    <row r="32" spans="1:20" s="171" customFormat="1" ht="15" hidden="1">
      <c r="A32" s="193" t="s">
        <v>2</v>
      </c>
      <c r="B32" s="171" t="s">
        <v>55</v>
      </c>
      <c r="D32" s="171">
        <f>'Balance inicial'!I31</f>
        <v>0</v>
      </c>
      <c r="E32" s="720"/>
      <c r="G32" s="721"/>
      <c r="H32" s="210">
        <f>-Resultados!D25</f>
        <v>0</v>
      </c>
      <c r="J32" s="721">
        <f>G32</f>
        <v>0</v>
      </c>
      <c r="K32" s="210">
        <f>-Resultados!G25</f>
        <v>0</v>
      </c>
      <c r="M32" s="721">
        <f>J32</f>
        <v>0</v>
      </c>
      <c r="N32" s="210">
        <f>-Resultados!J25</f>
        <v>0</v>
      </c>
      <c r="P32" s="721">
        <f>M32</f>
        <v>0</v>
      </c>
      <c r="Q32" s="210">
        <f>-Resultados!M25</f>
        <v>0</v>
      </c>
      <c r="S32" s="721">
        <f>P32</f>
        <v>0</v>
      </c>
      <c r="T32" s="211">
        <f>-Resultados!P25</f>
        <v>0</v>
      </c>
    </row>
    <row r="33" spans="1:28" s="171" customFormat="1" ht="15" hidden="1">
      <c r="A33" s="193" t="s">
        <v>2</v>
      </c>
      <c r="B33" s="171" t="s">
        <v>249</v>
      </c>
      <c r="D33" s="171">
        <f>'Balance inicial'!I32</f>
        <v>0</v>
      </c>
      <c r="E33" s="720"/>
      <c r="F33" s="209"/>
      <c r="G33" s="721"/>
      <c r="H33" s="210">
        <f>-Resultados!D23</f>
        <v>0</v>
      </c>
      <c r="I33" s="209"/>
      <c r="J33" s="721"/>
      <c r="K33" s="210">
        <f>-Resultados!G23</f>
        <v>0</v>
      </c>
      <c r="L33" s="209"/>
      <c r="M33" s="721"/>
      <c r="N33" s="210">
        <f>-Resultados!J23</f>
        <v>0</v>
      </c>
      <c r="O33" s="209"/>
      <c r="P33" s="721"/>
      <c r="Q33" s="210">
        <f>-Resultados!M23</f>
        <v>0</v>
      </c>
      <c r="R33" s="209"/>
      <c r="S33" s="721"/>
      <c r="T33" s="211">
        <f>-Resultados!P23</f>
        <v>0</v>
      </c>
    </row>
    <row r="34" spans="1:28" s="171" customFormat="1" ht="15" hidden="1">
      <c r="A34" s="193" t="s">
        <v>2</v>
      </c>
      <c r="B34" s="171" t="s">
        <v>250</v>
      </c>
      <c r="D34" s="171">
        <f>'Balance inicial'!I33</f>
        <v>0</v>
      </c>
      <c r="E34" s="720"/>
      <c r="F34" s="209">
        <f>C48</f>
        <v>0</v>
      </c>
      <c r="G34" s="721"/>
      <c r="H34" s="210">
        <f>IF($H$52&lt;0,-$H$52,0)</f>
        <v>0</v>
      </c>
      <c r="I34" s="209">
        <f>I48</f>
        <v>0</v>
      </c>
      <c r="J34" s="721"/>
      <c r="K34" s="210">
        <f>IF($M$52&lt;0,-$M$52,0)</f>
        <v>0</v>
      </c>
      <c r="L34" s="209">
        <f>N48</f>
        <v>0</v>
      </c>
      <c r="M34" s="721"/>
      <c r="N34" s="210">
        <f>IF($R$52&lt;0,-$R$52,0)</f>
        <v>0</v>
      </c>
      <c r="O34" s="209">
        <f>S48</f>
        <v>0</v>
      </c>
      <c r="P34" s="721"/>
      <c r="Q34" s="210">
        <f>IF($W$52&lt;0,-$W$52,0)</f>
        <v>0</v>
      </c>
      <c r="R34" s="209">
        <f>X48</f>
        <v>0</v>
      </c>
      <c r="S34" s="721"/>
      <c r="T34" s="211">
        <f>IF($AB$52&lt;0,-$AB$52,0)</f>
        <v>0</v>
      </c>
    </row>
    <row r="35" spans="1:28" s="171" customFormat="1" ht="15" hidden="1">
      <c r="A35" s="193" t="s">
        <v>2</v>
      </c>
      <c r="B35" s="171" t="s">
        <v>251</v>
      </c>
      <c r="C35" s="729">
        <f>Inicio!D31</f>
        <v>0.1</v>
      </c>
      <c r="D35" s="171">
        <f>'Balance inicial'!I34</f>
        <v>0</v>
      </c>
      <c r="E35" s="720"/>
      <c r="F35" s="209">
        <f>('G. Personal'!G13-'G. Personal'!E13)*$C$35</f>
        <v>0</v>
      </c>
      <c r="G35" s="721">
        <v>50</v>
      </c>
      <c r="H35" s="210">
        <f>F35/365*G35</f>
        <v>0</v>
      </c>
      <c r="I35" s="209">
        <f>('G. Personal'!N13-'G. Personal'!L13)*$C$35</f>
        <v>0</v>
      </c>
      <c r="J35" s="721">
        <f>G35</f>
        <v>50</v>
      </c>
      <c r="K35" s="210">
        <f>I35/365*J35</f>
        <v>0</v>
      </c>
      <c r="L35" s="209">
        <f>('G. Personal'!U13-'G. Personal'!S13)*$C$35</f>
        <v>0</v>
      </c>
      <c r="M35" s="721">
        <f>J35</f>
        <v>50</v>
      </c>
      <c r="N35" s="210">
        <f>L35/365*M35</f>
        <v>0</v>
      </c>
      <c r="O35" s="209">
        <f>('G. Personal'!AB13-'G. Personal'!Z13)*$C$35</f>
        <v>0</v>
      </c>
      <c r="P35" s="721">
        <f>M35</f>
        <v>50</v>
      </c>
      <c r="Q35" s="210">
        <f>O35/365*P35</f>
        <v>0</v>
      </c>
      <c r="R35" s="209">
        <f>('G. Personal'!AI13-'G. Personal'!AG13)*$C$35</f>
        <v>0</v>
      </c>
      <c r="S35" s="721">
        <f>P35</f>
        <v>50</v>
      </c>
      <c r="T35" s="211">
        <f>R35/365*S35</f>
        <v>0</v>
      </c>
    </row>
    <row r="36" spans="1:28" s="171" customFormat="1" ht="15" hidden="1">
      <c r="A36" s="193" t="s">
        <v>2</v>
      </c>
      <c r="B36" s="171" t="s">
        <v>56</v>
      </c>
      <c r="D36" s="171">
        <f>'Balance inicial'!I35</f>
        <v>0</v>
      </c>
      <c r="E36" s="720"/>
      <c r="F36" s="209">
        <f>'G. Personal'!F13</f>
        <v>0</v>
      </c>
      <c r="G36" s="721">
        <v>30</v>
      </c>
      <c r="H36" s="210">
        <f>F36/365*G36</f>
        <v>0</v>
      </c>
      <c r="I36" s="209">
        <f>'G. Personal'!M13</f>
        <v>0</v>
      </c>
      <c r="J36" s="721">
        <f>G36</f>
        <v>30</v>
      </c>
      <c r="K36" s="210">
        <f>I36/365*J36</f>
        <v>0</v>
      </c>
      <c r="L36" s="209">
        <f>'G. Personal'!T13</f>
        <v>0</v>
      </c>
      <c r="M36" s="721">
        <f>J36</f>
        <v>30</v>
      </c>
      <c r="N36" s="210">
        <f>L36/365*M36</f>
        <v>0</v>
      </c>
      <c r="O36" s="209">
        <f>'G. Personal'!AA13</f>
        <v>0</v>
      </c>
      <c r="P36" s="721">
        <f>M36</f>
        <v>30</v>
      </c>
      <c r="Q36" s="210">
        <f>O36/365*P36</f>
        <v>0</v>
      </c>
      <c r="R36" s="209">
        <f>'G. Personal'!AH13</f>
        <v>0</v>
      </c>
      <c r="S36" s="721">
        <f>P36</f>
        <v>30</v>
      </c>
      <c r="T36" s="211">
        <f>R36/365*S36</f>
        <v>0</v>
      </c>
    </row>
    <row r="37" spans="1:28" s="171" customFormat="1" ht="15" hidden="1">
      <c r="A37" s="193" t="s">
        <v>2</v>
      </c>
      <c r="B37" s="171" t="s">
        <v>172</v>
      </c>
      <c r="D37" s="171">
        <f>'Balance inicial'!I36</f>
        <v>0</v>
      </c>
      <c r="E37" s="722"/>
      <c r="F37" s="209"/>
      <c r="H37" s="210">
        <f>E15</f>
        <v>0</v>
      </c>
      <c r="I37" s="209"/>
      <c r="K37" s="210">
        <f>H15</f>
        <v>0</v>
      </c>
      <c r="L37" s="209"/>
      <c r="N37" s="210">
        <f>K15</f>
        <v>0</v>
      </c>
      <c r="O37" s="209"/>
      <c r="Q37" s="210">
        <f>N15</f>
        <v>0</v>
      </c>
      <c r="R37" s="209"/>
      <c r="T37" s="211">
        <f>Q15</f>
        <v>0</v>
      </c>
    </row>
    <row r="38" spans="1:28" s="72" customFormat="1" ht="33" hidden="1" customHeight="1" thickBot="1">
      <c r="A38" s="79"/>
      <c r="B38" s="80" t="s">
        <v>1</v>
      </c>
      <c r="C38" s="80"/>
      <c r="D38" s="80">
        <f>SUM(D31:D37)</f>
        <v>0</v>
      </c>
      <c r="E38" s="653"/>
      <c r="F38" s="81"/>
      <c r="G38" s="82"/>
      <c r="H38" s="83">
        <f>SUM(H31:H37)</f>
        <v>0</v>
      </c>
      <c r="I38" s="81"/>
      <c r="J38" s="82"/>
      <c r="K38" s="83">
        <f>SUM(K31:K37)</f>
        <v>0</v>
      </c>
      <c r="L38" s="81"/>
      <c r="M38" s="82"/>
      <c r="N38" s="83">
        <f>SUM(N31:N37)</f>
        <v>0</v>
      </c>
      <c r="O38" s="81"/>
      <c r="P38" s="82"/>
      <c r="Q38" s="83">
        <f>SUM(Q31:Q37)</f>
        <v>0</v>
      </c>
      <c r="R38" s="81"/>
      <c r="S38" s="82"/>
      <c r="T38" s="84">
        <f>SUM(T31:T37)</f>
        <v>0</v>
      </c>
    </row>
    <row r="39" spans="1:28" s="72" customFormat="1" ht="13.5" hidden="1" customHeight="1" thickBot="1">
      <c r="A39" s="71"/>
      <c r="B39" s="85"/>
      <c r="C39" s="85"/>
      <c r="D39" s="85"/>
      <c r="E39" s="85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8" s="71" customFormat="1" ht="33" hidden="1" customHeight="1">
      <c r="A40" s="1039" t="s">
        <v>274</v>
      </c>
      <c r="B40" s="1040"/>
      <c r="C40" s="1041"/>
      <c r="D40" s="1053"/>
      <c r="E40" s="1041"/>
      <c r="F40" s="219"/>
      <c r="G40" s="220"/>
      <c r="H40" s="220"/>
      <c r="I40" s="219"/>
      <c r="J40" s="220"/>
      <c r="K40" s="220"/>
      <c r="L40" s="219"/>
      <c r="M40" s="220"/>
      <c r="N40" s="220"/>
      <c r="O40" s="219"/>
      <c r="P40" s="220"/>
      <c r="Q40" s="220"/>
      <c r="R40" s="219"/>
      <c r="S40" s="220"/>
      <c r="T40" s="221"/>
    </row>
    <row r="41" spans="1:28" s="171" customFormat="1" ht="24.75" hidden="1" customHeight="1">
      <c r="A41" s="193" t="s">
        <v>57</v>
      </c>
      <c r="D41" s="1051">
        <f>D28+E28</f>
        <v>0</v>
      </c>
      <c r="E41" s="1052"/>
      <c r="F41" s="209"/>
      <c r="H41" s="171">
        <f>H28</f>
        <v>0</v>
      </c>
      <c r="I41" s="209"/>
      <c r="K41" s="171">
        <f>K28</f>
        <v>0</v>
      </c>
      <c r="L41" s="209"/>
      <c r="N41" s="171">
        <f>N28</f>
        <v>0</v>
      </c>
      <c r="O41" s="209"/>
      <c r="Q41" s="171">
        <f>Q28</f>
        <v>0</v>
      </c>
      <c r="R41" s="209"/>
      <c r="T41" s="211">
        <f>T28</f>
        <v>0</v>
      </c>
    </row>
    <row r="42" spans="1:28" s="171" customFormat="1" ht="24.75" hidden="1" customHeight="1">
      <c r="A42" s="193" t="s">
        <v>58</v>
      </c>
      <c r="D42" s="1047">
        <f>-D38</f>
        <v>0</v>
      </c>
      <c r="E42" s="1048"/>
      <c r="F42" s="209"/>
      <c r="H42" s="171">
        <f>-H38</f>
        <v>0</v>
      </c>
      <c r="I42" s="209"/>
      <c r="K42" s="171">
        <f>-K38</f>
        <v>0</v>
      </c>
      <c r="L42" s="209"/>
      <c r="N42" s="171">
        <f>-N38</f>
        <v>0</v>
      </c>
      <c r="O42" s="209"/>
      <c r="Q42" s="171">
        <f>-Q38</f>
        <v>0</v>
      </c>
      <c r="R42" s="209"/>
      <c r="T42" s="211">
        <f>-T38</f>
        <v>0</v>
      </c>
    </row>
    <row r="43" spans="1:28" s="71" customFormat="1" ht="34.5" hidden="1" customHeight="1" thickBot="1">
      <c r="A43" s="1042" t="s">
        <v>275</v>
      </c>
      <c r="B43" s="1043"/>
      <c r="C43" s="1044"/>
      <c r="D43" s="1049">
        <f>SUM(D41:E42)</f>
        <v>0</v>
      </c>
      <c r="E43" s="1050"/>
      <c r="F43" s="222"/>
      <c r="G43" s="188"/>
      <c r="H43" s="188">
        <f>SUM(H41:H42)</f>
        <v>0</v>
      </c>
      <c r="I43" s="222"/>
      <c r="J43" s="188"/>
      <c r="K43" s="188">
        <f>SUM(K41:K42)</f>
        <v>0</v>
      </c>
      <c r="L43" s="222"/>
      <c r="M43" s="188"/>
      <c r="N43" s="188">
        <f>SUM(N41:N42)</f>
        <v>0</v>
      </c>
      <c r="O43" s="222"/>
      <c r="P43" s="188"/>
      <c r="Q43" s="188">
        <f>SUM(Q41:Q42)</f>
        <v>0</v>
      </c>
      <c r="R43" s="222"/>
      <c r="S43" s="188"/>
      <c r="T43" s="223">
        <f>SUM(T41:T42)</f>
        <v>0</v>
      </c>
    </row>
    <row r="44" spans="1:28" s="71" customFormat="1" ht="19.5" hidden="1" customHeight="1">
      <c r="A44" s="702"/>
      <c r="B44" s="702"/>
      <c r="C44" s="702"/>
      <c r="D44" s="703"/>
      <c r="E44" s="703"/>
      <c r="F44" s="704"/>
      <c r="G44" s="704"/>
      <c r="H44" s="704"/>
      <c r="I44" s="704"/>
      <c r="J44" s="704"/>
      <c r="K44" s="704"/>
      <c r="L44" s="704"/>
      <c r="M44" s="704"/>
      <c r="N44" s="704"/>
      <c r="O44" s="704"/>
      <c r="P44" s="704"/>
      <c r="Q44" s="704"/>
      <c r="R44" s="704"/>
      <c r="S44" s="704"/>
      <c r="T44" s="704"/>
    </row>
    <row r="45" spans="1:28" ht="18.75" hidden="1" thickBot="1"/>
    <row r="46" spans="1:28" hidden="1">
      <c r="B46" s="1061" t="s">
        <v>288</v>
      </c>
      <c r="C46" s="1058" t="s">
        <v>60</v>
      </c>
      <c r="D46" s="1063"/>
      <c r="E46" s="1059"/>
      <c r="F46" s="1059"/>
      <c r="G46" s="1059"/>
      <c r="H46" s="1060"/>
      <c r="I46" s="1058" t="s">
        <v>61</v>
      </c>
      <c r="J46" s="1059"/>
      <c r="K46" s="1059"/>
      <c r="L46" s="1059"/>
      <c r="M46" s="1060"/>
      <c r="N46" s="1058" t="s">
        <v>62</v>
      </c>
      <c r="O46" s="1059"/>
      <c r="P46" s="1059"/>
      <c r="Q46" s="1059"/>
      <c r="R46" s="1060"/>
      <c r="S46" s="1058" t="s">
        <v>176</v>
      </c>
      <c r="T46" s="1059"/>
      <c r="U46" s="1059"/>
      <c r="V46" s="1059"/>
      <c r="W46" s="1060"/>
      <c r="X46" s="1058" t="s">
        <v>177</v>
      </c>
      <c r="Y46" s="1059"/>
      <c r="Z46" s="1059"/>
      <c r="AA46" s="1059"/>
      <c r="AB46" s="1060"/>
    </row>
    <row r="47" spans="1:28" ht="36" hidden="1">
      <c r="B47" s="1062"/>
      <c r="C47" s="518" t="s">
        <v>285</v>
      </c>
      <c r="D47" s="648"/>
      <c r="E47" s="76" t="s">
        <v>75</v>
      </c>
      <c r="F47" s="76" t="s">
        <v>76</v>
      </c>
      <c r="G47" s="76" t="s">
        <v>77</v>
      </c>
      <c r="H47" s="519" t="s">
        <v>78</v>
      </c>
      <c r="I47" s="518" t="s">
        <v>285</v>
      </c>
      <c r="J47" s="76" t="s">
        <v>75</v>
      </c>
      <c r="K47" s="76" t="s">
        <v>76</v>
      </c>
      <c r="L47" s="76" t="s">
        <v>77</v>
      </c>
      <c r="M47" s="519" t="s">
        <v>78</v>
      </c>
      <c r="N47" s="518" t="s">
        <v>285</v>
      </c>
      <c r="O47" s="76" t="s">
        <v>75</v>
      </c>
      <c r="P47" s="76" t="s">
        <v>76</v>
      </c>
      <c r="Q47" s="76" t="s">
        <v>77</v>
      </c>
      <c r="R47" s="519" t="s">
        <v>78</v>
      </c>
      <c r="S47" s="518" t="s">
        <v>285</v>
      </c>
      <c r="T47" s="76" t="s">
        <v>75</v>
      </c>
      <c r="U47" s="76" t="s">
        <v>76</v>
      </c>
      <c r="V47" s="76" t="s">
        <v>77</v>
      </c>
      <c r="W47" s="519" t="s">
        <v>78</v>
      </c>
      <c r="X47" s="518" t="s">
        <v>285</v>
      </c>
      <c r="Y47" s="76" t="s">
        <v>75</v>
      </c>
      <c r="Z47" s="76" t="s">
        <v>76</v>
      </c>
      <c r="AA47" s="76" t="s">
        <v>77</v>
      </c>
      <c r="AB47" s="519" t="s">
        <v>78</v>
      </c>
    </row>
    <row r="48" spans="1:28" hidden="1">
      <c r="B48" s="109" t="s">
        <v>290</v>
      </c>
      <c r="C48" s="520">
        <f>Ventas!B65</f>
        <v>0</v>
      </c>
      <c r="D48" s="649"/>
      <c r="E48" s="107">
        <f>$C$48/4</f>
        <v>0</v>
      </c>
      <c r="F48" s="107">
        <f>$C$48/4</f>
        <v>0</v>
      </c>
      <c r="G48" s="107">
        <f>$C$48/4</f>
        <v>0</v>
      </c>
      <c r="H48" s="521">
        <f>$C$48/4</f>
        <v>0</v>
      </c>
      <c r="I48" s="520">
        <f>Ventas!C65</f>
        <v>0</v>
      </c>
      <c r="J48" s="104">
        <f>$I$48/4</f>
        <v>0</v>
      </c>
      <c r="K48" s="104">
        <f>$I$48/4</f>
        <v>0</v>
      </c>
      <c r="L48" s="104">
        <f>$I$48/4</f>
        <v>0</v>
      </c>
      <c r="M48" s="112">
        <f>$I$48/4</f>
        <v>0</v>
      </c>
      <c r="N48" s="520">
        <f>Ventas!D65</f>
        <v>0</v>
      </c>
      <c r="O48" s="104">
        <f>$N$48/4</f>
        <v>0</v>
      </c>
      <c r="P48" s="104">
        <f>$N$48/4</f>
        <v>0</v>
      </c>
      <c r="Q48" s="104">
        <f>$N$48/4</f>
        <v>0</v>
      </c>
      <c r="R48" s="112">
        <f>$N$48/4</f>
        <v>0</v>
      </c>
      <c r="S48" s="520">
        <f>Ventas!E65</f>
        <v>0</v>
      </c>
      <c r="T48" s="104">
        <f>$S$48/4</f>
        <v>0</v>
      </c>
      <c r="U48" s="104">
        <f>$S$48/4</f>
        <v>0</v>
      </c>
      <c r="V48" s="104">
        <f>$S$48/4</f>
        <v>0</v>
      </c>
      <c r="W48" s="112">
        <f>$S$48/4</f>
        <v>0</v>
      </c>
      <c r="X48" s="520">
        <f>Ventas!F65</f>
        <v>0</v>
      </c>
      <c r="Y48" s="104">
        <f>$X$48/4</f>
        <v>0</v>
      </c>
      <c r="Z48" s="104">
        <f>$X$48/4</f>
        <v>0</v>
      </c>
      <c r="AA48" s="104">
        <f>$X$48/4</f>
        <v>0</v>
      </c>
      <c r="AB48" s="112">
        <f>$X$48/4</f>
        <v>0</v>
      </c>
    </row>
    <row r="49" spans="2:28" hidden="1">
      <c r="B49" s="109" t="s">
        <v>289</v>
      </c>
      <c r="C49" s="520">
        <f>-Inversiones!I27</f>
        <v>0</v>
      </c>
      <c r="D49" s="649"/>
      <c r="E49" s="107">
        <f>C49</f>
        <v>0</v>
      </c>
      <c r="F49" s="107"/>
      <c r="G49" s="107"/>
      <c r="H49" s="521"/>
      <c r="I49" s="520">
        <f>-Inversiones!L27</f>
        <v>0</v>
      </c>
      <c r="J49" s="104">
        <f>I49</f>
        <v>0</v>
      </c>
      <c r="K49" s="104"/>
      <c r="L49" s="104"/>
      <c r="M49" s="112"/>
      <c r="N49" s="520">
        <f>-Inversiones!O27</f>
        <v>0</v>
      </c>
      <c r="O49" s="104">
        <f>N49</f>
        <v>0</v>
      </c>
      <c r="P49" s="104"/>
      <c r="Q49" s="104"/>
      <c r="R49" s="112"/>
      <c r="S49" s="520">
        <f>-Inversiones!R27</f>
        <v>0</v>
      </c>
      <c r="T49" s="104">
        <f>S49</f>
        <v>0</v>
      </c>
      <c r="U49" s="104"/>
      <c r="V49" s="104"/>
      <c r="W49" s="112"/>
      <c r="X49" s="520">
        <f>-Inversiones!U27</f>
        <v>0</v>
      </c>
      <c r="Y49" s="104">
        <f>X49</f>
        <v>0</v>
      </c>
      <c r="Z49" s="104"/>
      <c r="AA49" s="104"/>
      <c r="AB49" s="112"/>
    </row>
    <row r="50" spans="2:28" hidden="1">
      <c r="B50" s="109" t="s">
        <v>291</v>
      </c>
      <c r="C50" s="520">
        <f>-'G. Variables'!B98</f>
        <v>0</v>
      </c>
      <c r="D50" s="649"/>
      <c r="E50" s="107">
        <f>$C$50/4</f>
        <v>0</v>
      </c>
      <c r="F50" s="107">
        <f>$C$50/4</f>
        <v>0</v>
      </c>
      <c r="G50" s="107">
        <f>$C$50/4</f>
        <v>0</v>
      </c>
      <c r="H50" s="521">
        <f>$C$50/4</f>
        <v>0</v>
      </c>
      <c r="I50" s="520">
        <f>-'G. Variables'!C98</f>
        <v>0</v>
      </c>
      <c r="J50" s="104">
        <f>$I$50/4</f>
        <v>0</v>
      </c>
      <c r="K50" s="104">
        <f>$I$50/4</f>
        <v>0</v>
      </c>
      <c r="L50" s="104">
        <f>$I$50/4</f>
        <v>0</v>
      </c>
      <c r="M50" s="112">
        <f>$I$50/4</f>
        <v>0</v>
      </c>
      <c r="N50" s="520">
        <f>-'G. Variables'!D98</f>
        <v>0</v>
      </c>
      <c r="O50" s="104">
        <f>$N$50/4</f>
        <v>0</v>
      </c>
      <c r="P50" s="104">
        <f>$N$50/4</f>
        <v>0</v>
      </c>
      <c r="Q50" s="104">
        <f>$N$50/4</f>
        <v>0</v>
      </c>
      <c r="R50" s="112">
        <f>$N$50/4</f>
        <v>0</v>
      </c>
      <c r="S50" s="520">
        <f>-'G. Variables'!E98</f>
        <v>0</v>
      </c>
      <c r="T50" s="104">
        <f>$S$50/4</f>
        <v>0</v>
      </c>
      <c r="U50" s="104">
        <f>$S$50/4</f>
        <v>0</v>
      </c>
      <c r="V50" s="104">
        <f>$S$50/4</f>
        <v>0</v>
      </c>
      <c r="W50" s="112">
        <f>$S$50/4</f>
        <v>0</v>
      </c>
      <c r="X50" s="520">
        <f>-'G. Variables'!F98</f>
        <v>0</v>
      </c>
      <c r="Y50" s="104">
        <f>$X$50/4</f>
        <v>0</v>
      </c>
      <c r="Z50" s="104">
        <f>$X$50/4</f>
        <v>0</v>
      </c>
      <c r="AA50" s="104">
        <f>$X$50/4</f>
        <v>0</v>
      </c>
      <c r="AB50" s="112">
        <f>$X$50/4</f>
        <v>0</v>
      </c>
    </row>
    <row r="51" spans="2:28" ht="18.75" hidden="1" thickBot="1">
      <c r="B51" s="110" t="s">
        <v>292</v>
      </c>
      <c r="C51" s="522">
        <f>-'G. Fijos'!B62</f>
        <v>0</v>
      </c>
      <c r="D51" s="650"/>
      <c r="E51" s="108">
        <f>$C$51/4</f>
        <v>0</v>
      </c>
      <c r="F51" s="108">
        <f>$C$51/4</f>
        <v>0</v>
      </c>
      <c r="G51" s="108">
        <f>$C$51/4</f>
        <v>0</v>
      </c>
      <c r="H51" s="523">
        <f>$C$51/4</f>
        <v>0</v>
      </c>
      <c r="I51" s="522">
        <f>-'G. Fijos'!C62</f>
        <v>0</v>
      </c>
      <c r="J51" s="105">
        <f>$I$51/4</f>
        <v>0</v>
      </c>
      <c r="K51" s="105">
        <f>$I$51/4</f>
        <v>0</v>
      </c>
      <c r="L51" s="105">
        <f>$I$51/4</f>
        <v>0</v>
      </c>
      <c r="M51" s="524">
        <f>$I$51/4</f>
        <v>0</v>
      </c>
      <c r="N51" s="522">
        <f>-'G. Fijos'!D62</f>
        <v>0</v>
      </c>
      <c r="O51" s="105">
        <f>$N$51/4</f>
        <v>0</v>
      </c>
      <c r="P51" s="105">
        <f>$N$51/4</f>
        <v>0</v>
      </c>
      <c r="Q51" s="105">
        <f>$N$51/4</f>
        <v>0</v>
      </c>
      <c r="R51" s="524">
        <f>$N$51/4</f>
        <v>0</v>
      </c>
      <c r="S51" s="522">
        <f>-'G. Fijos'!E62</f>
        <v>0</v>
      </c>
      <c r="T51" s="105">
        <f>$S$51/4</f>
        <v>0</v>
      </c>
      <c r="U51" s="105">
        <f>$S$51/4</f>
        <v>0</v>
      </c>
      <c r="V51" s="105">
        <f>$S$51/4</f>
        <v>0</v>
      </c>
      <c r="W51" s="524">
        <f>$S$51/4</f>
        <v>0</v>
      </c>
      <c r="X51" s="522">
        <f>-'G. Fijos'!F62</f>
        <v>0</v>
      </c>
      <c r="Y51" s="105">
        <f>$X$51/4</f>
        <v>0</v>
      </c>
      <c r="Z51" s="105">
        <f>$X$51/4</f>
        <v>0</v>
      </c>
      <c r="AA51" s="105">
        <f>$X$51/4</f>
        <v>0</v>
      </c>
      <c r="AB51" s="524">
        <f>$X$51/4</f>
        <v>0</v>
      </c>
    </row>
    <row r="52" spans="2:28" ht="18.75" hidden="1" thickBot="1">
      <c r="B52" s="111" t="s">
        <v>390</v>
      </c>
      <c r="C52" s="525">
        <f>SUM(C48:C51)</f>
        <v>0</v>
      </c>
      <c r="D52" s="651"/>
      <c r="E52" s="106">
        <f t="shared" ref="E52:AB52" si="19">SUM(E48:E51)</f>
        <v>0</v>
      </c>
      <c r="F52" s="106">
        <f t="shared" si="19"/>
        <v>0</v>
      </c>
      <c r="G52" s="106">
        <f t="shared" si="19"/>
        <v>0</v>
      </c>
      <c r="H52" s="113">
        <f t="shared" si="19"/>
        <v>0</v>
      </c>
      <c r="I52" s="525">
        <f t="shared" si="19"/>
        <v>0</v>
      </c>
      <c r="J52" s="106">
        <f t="shared" si="19"/>
        <v>0</v>
      </c>
      <c r="K52" s="106">
        <f t="shared" si="19"/>
        <v>0</v>
      </c>
      <c r="L52" s="106">
        <f t="shared" si="19"/>
        <v>0</v>
      </c>
      <c r="M52" s="113">
        <f t="shared" si="19"/>
        <v>0</v>
      </c>
      <c r="N52" s="525">
        <f t="shared" si="19"/>
        <v>0</v>
      </c>
      <c r="O52" s="106">
        <f t="shared" si="19"/>
        <v>0</v>
      </c>
      <c r="P52" s="106">
        <f t="shared" si="19"/>
        <v>0</v>
      </c>
      <c r="Q52" s="106">
        <f t="shared" si="19"/>
        <v>0</v>
      </c>
      <c r="R52" s="113">
        <f t="shared" si="19"/>
        <v>0</v>
      </c>
      <c r="S52" s="525">
        <f t="shared" si="19"/>
        <v>0</v>
      </c>
      <c r="T52" s="106">
        <f t="shared" si="19"/>
        <v>0</v>
      </c>
      <c r="U52" s="106">
        <f t="shared" si="19"/>
        <v>0</v>
      </c>
      <c r="V52" s="106">
        <f t="shared" si="19"/>
        <v>0</v>
      </c>
      <c r="W52" s="113">
        <f t="shared" si="19"/>
        <v>0</v>
      </c>
      <c r="X52" s="525">
        <f t="shared" si="19"/>
        <v>0</v>
      </c>
      <c r="Y52" s="106">
        <f t="shared" si="19"/>
        <v>0</v>
      </c>
      <c r="Z52" s="106">
        <f t="shared" si="19"/>
        <v>0</v>
      </c>
      <c r="AA52" s="106">
        <f t="shared" si="19"/>
        <v>0</v>
      </c>
      <c r="AB52" s="113">
        <f t="shared" si="19"/>
        <v>0</v>
      </c>
    </row>
    <row r="53" spans="2:28" hidden="1"/>
  </sheetData>
  <sheetProtection password="A6E9" sheet="1" formatColumns="0"/>
  <mergeCells count="36">
    <mergeCell ref="A4:C5"/>
    <mergeCell ref="B11:C11"/>
    <mergeCell ref="B14:C14"/>
    <mergeCell ref="A18:C18"/>
    <mergeCell ref="B6:C6"/>
    <mergeCell ref="B7:C7"/>
    <mergeCell ref="B8:C8"/>
    <mergeCell ref="B9:C9"/>
    <mergeCell ref="B10:C10"/>
    <mergeCell ref="B12:C12"/>
    <mergeCell ref="B13:C13"/>
    <mergeCell ref="B15:C15"/>
    <mergeCell ref="X46:AB46"/>
    <mergeCell ref="B46:B47"/>
    <mergeCell ref="C46:H46"/>
    <mergeCell ref="I46:M46"/>
    <mergeCell ref="N46:R46"/>
    <mergeCell ref="S46:W46"/>
    <mergeCell ref="A17:B17"/>
    <mergeCell ref="R17:T17"/>
    <mergeCell ref="F17:H17"/>
    <mergeCell ref="A40:C40"/>
    <mergeCell ref="E4:G4"/>
    <mergeCell ref="H4:J4"/>
    <mergeCell ref="A43:C43"/>
    <mergeCell ref="A29:B29"/>
    <mergeCell ref="D42:E42"/>
    <mergeCell ref="D43:E43"/>
    <mergeCell ref="D41:E41"/>
    <mergeCell ref="D40:E40"/>
    <mergeCell ref="K4:M4"/>
    <mergeCell ref="N4:P4"/>
    <mergeCell ref="Q4:S4"/>
    <mergeCell ref="O17:Q17"/>
    <mergeCell ref="I17:K17"/>
    <mergeCell ref="L17:N17"/>
  </mergeCells>
  <phoneticPr fontId="0" type="noConversion"/>
  <printOptions horizontalCentered="1" gridLinesSet="0"/>
  <pageMargins left="0.39370078740157483" right="0.39370078740157483" top="0.78740157480314965" bottom="1.0236220472440944" header="0.39370078740157483" footer="0.51181102362204722"/>
  <pageSetup paperSize="9" scale="68" orientation="landscape" horizontalDpi="240" verticalDpi="4294967292" r:id="rId1"/>
  <headerFooter alignWithMargins="0">
    <oddHeader>&amp;C&amp;"Trebuchet MS,Normal"&amp;14&amp;U&amp;A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4" r:id="rId4" name="Button 8">
              <controlPr defaultSize="0" print="0" autoFill="0" autoPict="0" macro="[0]!Inicio">
                <anchor moveWithCells="1" sizeWithCells="1">
                  <from>
                    <xdr:col>1</xdr:col>
                    <xdr:colOff>114300</xdr:colOff>
                    <xdr:row>0</xdr:row>
                    <xdr:rowOff>76200</xdr:rowOff>
                  </from>
                  <to>
                    <xdr:col>1</xdr:col>
                    <xdr:colOff>1381125</xdr:colOff>
                    <xdr:row>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V38"/>
  <sheetViews>
    <sheetView showGridLines="0" showZeros="0" zoomScale="80" zoomScaleNormal="80" workbookViewId="0">
      <selection activeCell="D4" sqref="D4"/>
    </sheetView>
  </sheetViews>
  <sheetFormatPr baseColWidth="10" defaultColWidth="0" defaultRowHeight="18"/>
  <cols>
    <col min="1" max="1" width="2.625" style="62" customWidth="1"/>
    <col min="2" max="2" width="3.125" style="62" customWidth="1"/>
    <col min="3" max="3" width="32.625" style="62" bestFit="1" customWidth="1"/>
    <col min="4" max="4" width="12.125" style="62" customWidth="1"/>
    <col min="5" max="5" width="8.75" style="660" bestFit="1" customWidth="1"/>
    <col min="6" max="6" width="12.125" style="62" bestFit="1" customWidth="1"/>
    <col min="7" max="7" width="8.75" style="660" customWidth="1"/>
    <col min="8" max="8" width="12.125" style="62" bestFit="1" customWidth="1"/>
    <col min="9" max="9" width="8.75" style="660" bestFit="1" customWidth="1"/>
    <col min="10" max="10" width="12.125" style="62" bestFit="1" customWidth="1"/>
    <col min="11" max="11" width="8.75" style="660" bestFit="1" customWidth="1"/>
    <col min="12" max="12" width="12.125" style="62" bestFit="1" customWidth="1"/>
    <col min="13" max="13" width="9.625" style="660" customWidth="1"/>
    <col min="14" max="14" width="13" style="62" bestFit="1" customWidth="1"/>
    <col min="15" max="15" width="8.75" style="660" bestFit="1" customWidth="1"/>
    <col min="16" max="16" width="11.25" style="62" customWidth="1"/>
    <col min="17" max="16384" width="0" style="62" hidden="1"/>
  </cols>
  <sheetData>
    <row r="1" spans="1:22" ht="46.5" customHeight="1" thickBot="1"/>
    <row r="2" spans="1:22" ht="33" customHeight="1" thickBot="1">
      <c r="A2" s="934" t="s">
        <v>126</v>
      </c>
      <c r="B2" s="935"/>
      <c r="C2" s="935"/>
      <c r="D2" s="1077" t="s">
        <v>151</v>
      </c>
      <c r="E2" s="1078"/>
      <c r="F2" s="1077" t="s">
        <v>60</v>
      </c>
      <c r="G2" s="1078"/>
      <c r="H2" s="1075" t="s">
        <v>61</v>
      </c>
      <c r="I2" s="1075"/>
      <c r="J2" s="1075" t="s">
        <v>62</v>
      </c>
      <c r="K2" s="1075"/>
      <c r="L2" s="1075" t="s">
        <v>176</v>
      </c>
      <c r="M2" s="1075"/>
      <c r="N2" s="1075" t="s">
        <v>177</v>
      </c>
      <c r="O2" s="1076"/>
    </row>
    <row r="3" spans="1:22" s="71" customFormat="1" ht="21.75" customHeight="1">
      <c r="A3" s="241" t="s">
        <v>63</v>
      </c>
      <c r="B3" s="242" t="s">
        <v>261</v>
      </c>
      <c r="C3" s="242"/>
      <c r="D3" s="753">
        <f>SUM(D4:D9)</f>
        <v>0</v>
      </c>
      <c r="E3" s="659">
        <f t="shared" ref="E3:E15" si="0">IF($D$15&lt;&gt;0,D3/$D$15,0)</f>
        <v>0</v>
      </c>
      <c r="F3" s="753">
        <f>SUM(F4:F9)</f>
        <v>0</v>
      </c>
      <c r="G3" s="916">
        <f t="shared" ref="G3:G15" si="1">IF($F$15&lt;&gt;0,F3/$F$15,0)</f>
        <v>0</v>
      </c>
      <c r="H3" s="753">
        <f>SUM(H4:H9)</f>
        <v>0</v>
      </c>
      <c r="I3" s="916">
        <f t="shared" ref="I3:I15" si="2">IF($H$15&lt;&gt;0,H3/$H$15,0)</f>
        <v>0</v>
      </c>
      <c r="J3" s="753">
        <f>SUM(J4:J9)</f>
        <v>0</v>
      </c>
      <c r="K3" s="916">
        <f t="shared" ref="K3:K15" si="3">IF($J$15&lt;&gt;0,J3/$J$15,0)</f>
        <v>0</v>
      </c>
      <c r="L3" s="753">
        <f>SUM(L4:L9)</f>
        <v>0</v>
      </c>
      <c r="M3" s="916">
        <f t="shared" ref="M3:M15" si="4">IF($L$15&lt;&gt;0,L3/$L$15,0)</f>
        <v>0</v>
      </c>
      <c r="N3" s="753">
        <f>SUM(N4:N9)</f>
        <v>0</v>
      </c>
      <c r="O3" s="916">
        <f t="shared" ref="O3:O15" si="5">IF($N$15&lt;&gt;0,N3/$N$15,0)</f>
        <v>0</v>
      </c>
    </row>
    <row r="4" spans="1:22" s="171" customFormat="1" ht="15">
      <c r="A4" s="228"/>
      <c r="B4" s="229" t="s">
        <v>2</v>
      </c>
      <c r="C4" s="229" t="s">
        <v>137</v>
      </c>
      <c r="D4" s="754">
        <f>'Balance inicial'!D4+Inversiones!G6</f>
        <v>0</v>
      </c>
      <c r="E4" s="895">
        <f t="shared" si="0"/>
        <v>0</v>
      </c>
      <c r="F4" s="759">
        <f>D4+Inversiones!I6</f>
        <v>0</v>
      </c>
      <c r="G4" s="917">
        <f t="shared" si="1"/>
        <v>0</v>
      </c>
      <c r="H4" s="759">
        <f>F4+Inversiones!L6</f>
        <v>0</v>
      </c>
      <c r="I4" s="917">
        <f t="shared" si="2"/>
        <v>0</v>
      </c>
      <c r="J4" s="759">
        <f>H4+Inversiones!O6</f>
        <v>0</v>
      </c>
      <c r="K4" s="917">
        <f t="shared" si="3"/>
        <v>0</v>
      </c>
      <c r="L4" s="759">
        <f>J4+Inversiones!R6</f>
        <v>0</v>
      </c>
      <c r="M4" s="917">
        <f t="shared" si="4"/>
        <v>0</v>
      </c>
      <c r="N4" s="759">
        <f>L4+Inversiones!U6</f>
        <v>0</v>
      </c>
      <c r="O4" s="917">
        <f t="shared" si="5"/>
        <v>0</v>
      </c>
    </row>
    <row r="5" spans="1:22" s="171" customFormat="1" ht="15">
      <c r="A5" s="228"/>
      <c r="B5" s="229" t="s">
        <v>2</v>
      </c>
      <c r="C5" s="229" t="s">
        <v>257</v>
      </c>
      <c r="D5" s="754">
        <f>'Balance inicial'!D8</f>
        <v>0</v>
      </c>
      <c r="E5" s="895">
        <f t="shared" si="0"/>
        <v>0</v>
      </c>
      <c r="F5" s="759">
        <f>D5-Inversiones!K6</f>
        <v>0</v>
      </c>
      <c r="G5" s="917">
        <f t="shared" si="1"/>
        <v>0</v>
      </c>
      <c r="H5" s="759">
        <f>F5-Inversiones!N6</f>
        <v>0</v>
      </c>
      <c r="I5" s="917">
        <f t="shared" si="2"/>
        <v>0</v>
      </c>
      <c r="J5" s="759">
        <f>H5-Inversiones!Q6</f>
        <v>0</v>
      </c>
      <c r="K5" s="917">
        <f t="shared" si="3"/>
        <v>0</v>
      </c>
      <c r="L5" s="759">
        <f>J5-Inversiones!T6</f>
        <v>0</v>
      </c>
      <c r="M5" s="917">
        <f t="shared" si="4"/>
        <v>0</v>
      </c>
      <c r="N5" s="759">
        <f>L5-Inversiones!W6</f>
        <v>0</v>
      </c>
      <c r="O5" s="917">
        <f t="shared" si="5"/>
        <v>0</v>
      </c>
    </row>
    <row r="6" spans="1:22" s="171" customFormat="1" ht="15">
      <c r="A6" s="228"/>
      <c r="B6" s="229" t="s">
        <v>2</v>
      </c>
      <c r="C6" s="229" t="s">
        <v>138</v>
      </c>
      <c r="D6" s="754">
        <f>'Balance inicial'!D9+Inversiones!G10</f>
        <v>0</v>
      </c>
      <c r="E6" s="895">
        <f t="shared" si="0"/>
        <v>0</v>
      </c>
      <c r="F6" s="759">
        <f>D6+Inversiones!I10</f>
        <v>0</v>
      </c>
      <c r="G6" s="917">
        <f t="shared" si="1"/>
        <v>0</v>
      </c>
      <c r="H6" s="759">
        <f>F6+Inversiones!L10</f>
        <v>0</v>
      </c>
      <c r="I6" s="917">
        <f t="shared" si="2"/>
        <v>0</v>
      </c>
      <c r="J6" s="759">
        <f>H6+Inversiones!O10</f>
        <v>0</v>
      </c>
      <c r="K6" s="917">
        <f t="shared" si="3"/>
        <v>0</v>
      </c>
      <c r="L6" s="759">
        <f>J6+Inversiones!R10</f>
        <v>0</v>
      </c>
      <c r="M6" s="917">
        <f t="shared" si="4"/>
        <v>0</v>
      </c>
      <c r="N6" s="759">
        <f>L6+Inversiones!U10</f>
        <v>0</v>
      </c>
      <c r="O6" s="917">
        <f t="shared" si="5"/>
        <v>0</v>
      </c>
    </row>
    <row r="7" spans="1:22" s="171" customFormat="1" ht="15">
      <c r="A7" s="228"/>
      <c r="B7" s="229" t="s">
        <v>2</v>
      </c>
      <c r="C7" s="229" t="s">
        <v>257</v>
      </c>
      <c r="D7" s="754">
        <f>'Balance inicial'!D19</f>
        <v>0</v>
      </c>
      <c r="E7" s="895">
        <f t="shared" si="0"/>
        <v>0</v>
      </c>
      <c r="F7" s="759">
        <f>D7-Inversiones!K10</f>
        <v>0</v>
      </c>
      <c r="G7" s="917">
        <f t="shared" si="1"/>
        <v>0</v>
      </c>
      <c r="H7" s="759">
        <f>F7-Inversiones!N10</f>
        <v>0</v>
      </c>
      <c r="I7" s="917">
        <f t="shared" si="2"/>
        <v>0</v>
      </c>
      <c r="J7" s="759">
        <f>H7-Inversiones!Q10</f>
        <v>0</v>
      </c>
      <c r="K7" s="917">
        <f t="shared" si="3"/>
        <v>0</v>
      </c>
      <c r="L7" s="759">
        <f>J7-Inversiones!T10</f>
        <v>0</v>
      </c>
      <c r="M7" s="917">
        <f t="shared" si="4"/>
        <v>0</v>
      </c>
      <c r="N7" s="759">
        <f>L7-Inversiones!W10</f>
        <v>0</v>
      </c>
      <c r="O7" s="917">
        <f t="shared" si="5"/>
        <v>0</v>
      </c>
    </row>
    <row r="8" spans="1:22" s="171" customFormat="1" ht="15">
      <c r="A8" s="228"/>
      <c r="B8" s="229" t="s">
        <v>2</v>
      </c>
      <c r="C8" s="229" t="s">
        <v>139</v>
      </c>
      <c r="D8" s="754">
        <f>'Balance inicial'!D21+Inversiones!G20</f>
        <v>0</v>
      </c>
      <c r="E8" s="895">
        <f t="shared" si="0"/>
        <v>0</v>
      </c>
      <c r="F8" s="759">
        <f>D8+Inversiones!I20</f>
        <v>0</v>
      </c>
      <c r="G8" s="917">
        <f t="shared" si="1"/>
        <v>0</v>
      </c>
      <c r="H8" s="759">
        <f>F8+Inversiones!L20</f>
        <v>0</v>
      </c>
      <c r="I8" s="917">
        <f t="shared" si="2"/>
        <v>0</v>
      </c>
      <c r="J8" s="759">
        <f>H8+Inversiones!O20</f>
        <v>0</v>
      </c>
      <c r="K8" s="917">
        <f t="shared" si="3"/>
        <v>0</v>
      </c>
      <c r="L8" s="759">
        <f>J8+Inversiones!R20</f>
        <v>0</v>
      </c>
      <c r="M8" s="917">
        <f t="shared" si="4"/>
        <v>0</v>
      </c>
      <c r="N8" s="759">
        <f>L8+Inversiones!U20</f>
        <v>0</v>
      </c>
      <c r="O8" s="917">
        <f t="shared" si="5"/>
        <v>0</v>
      </c>
    </row>
    <row r="9" spans="1:22" s="171" customFormat="1" ht="15">
      <c r="A9" s="228"/>
      <c r="B9" s="229" t="s">
        <v>2</v>
      </c>
      <c r="C9" s="229" t="s">
        <v>409</v>
      </c>
      <c r="D9" s="754">
        <f>'Balance inicial'!D24</f>
        <v>0</v>
      </c>
      <c r="E9" s="895">
        <f t="shared" si="0"/>
        <v>0</v>
      </c>
      <c r="F9" s="759"/>
      <c r="G9" s="917">
        <f t="shared" si="1"/>
        <v>0</v>
      </c>
      <c r="H9" s="759"/>
      <c r="I9" s="917">
        <f t="shared" si="2"/>
        <v>0</v>
      </c>
      <c r="J9" s="759"/>
      <c r="K9" s="917">
        <f t="shared" si="3"/>
        <v>0</v>
      </c>
      <c r="L9" s="759"/>
      <c r="M9" s="917">
        <f t="shared" si="4"/>
        <v>0</v>
      </c>
      <c r="N9" s="759"/>
      <c r="O9" s="917">
        <f t="shared" si="5"/>
        <v>0</v>
      </c>
    </row>
    <row r="10" spans="1:22" s="71" customFormat="1" ht="21.75" customHeight="1">
      <c r="A10" s="230" t="s">
        <v>63</v>
      </c>
      <c r="B10" s="231" t="s">
        <v>262</v>
      </c>
      <c r="C10" s="231"/>
      <c r="D10" s="896">
        <f t="shared" ref="D10:N10" si="6">SUM(D11:D14)</f>
        <v>0</v>
      </c>
      <c r="E10" s="897">
        <f t="shared" si="0"/>
        <v>0</v>
      </c>
      <c r="F10" s="898">
        <f t="shared" si="6"/>
        <v>0</v>
      </c>
      <c r="G10" s="918">
        <f t="shared" si="1"/>
        <v>0</v>
      </c>
      <c r="H10" s="898">
        <f t="shared" si="6"/>
        <v>0</v>
      </c>
      <c r="I10" s="918">
        <f t="shared" si="2"/>
        <v>0</v>
      </c>
      <c r="J10" s="898">
        <f t="shared" si="6"/>
        <v>0</v>
      </c>
      <c r="K10" s="918">
        <f t="shared" si="3"/>
        <v>0</v>
      </c>
      <c r="L10" s="898">
        <f t="shared" si="6"/>
        <v>0</v>
      </c>
      <c r="M10" s="918">
        <f t="shared" si="4"/>
        <v>0</v>
      </c>
      <c r="N10" s="898">
        <f t="shared" si="6"/>
        <v>0</v>
      </c>
      <c r="O10" s="918">
        <f t="shared" si="5"/>
        <v>0</v>
      </c>
    </row>
    <row r="11" spans="1:22" s="171" customFormat="1" ht="15">
      <c r="A11" s="228"/>
      <c r="B11" s="229" t="s">
        <v>2</v>
      </c>
      <c r="C11" s="229" t="s">
        <v>319</v>
      </c>
      <c r="D11" s="754">
        <f>'Balance inicial'!D26+SUM(Circulantes!E19:E20)</f>
        <v>0</v>
      </c>
      <c r="E11" s="895">
        <f t="shared" si="0"/>
        <v>0</v>
      </c>
      <c r="F11" s="759">
        <f>SUM(Circulantes!H19:H23)</f>
        <v>0</v>
      </c>
      <c r="G11" s="917">
        <f t="shared" si="1"/>
        <v>0</v>
      </c>
      <c r="H11" s="759">
        <f>SUM(Circulantes!K19:K23)</f>
        <v>0</v>
      </c>
      <c r="I11" s="917">
        <f t="shared" si="2"/>
        <v>0</v>
      </c>
      <c r="J11" s="759">
        <f>SUM(Circulantes!N19:N23)</f>
        <v>0</v>
      </c>
      <c r="K11" s="917">
        <f t="shared" si="3"/>
        <v>0</v>
      </c>
      <c r="L11" s="759">
        <f>SUM(Circulantes!Q19:Q23)</f>
        <v>0</v>
      </c>
      <c r="M11" s="917">
        <f t="shared" si="4"/>
        <v>0</v>
      </c>
      <c r="N11" s="759">
        <f>SUM(Circulantes!T19:T23)</f>
        <v>0</v>
      </c>
      <c r="O11" s="917">
        <f t="shared" si="5"/>
        <v>0</v>
      </c>
    </row>
    <row r="12" spans="1:22" s="171" customFormat="1" ht="15">
      <c r="A12" s="228"/>
      <c r="B12" s="229" t="s">
        <v>2</v>
      </c>
      <c r="C12" s="229" t="str">
        <f>Circulantes!B24</f>
        <v>Clientes</v>
      </c>
      <c r="D12" s="754">
        <f>'Balance inicial'!D32</f>
        <v>0</v>
      </c>
      <c r="E12" s="895">
        <f t="shared" si="0"/>
        <v>0</v>
      </c>
      <c r="F12" s="759">
        <f>Circulantes!H24</f>
        <v>0</v>
      </c>
      <c r="G12" s="917">
        <f t="shared" si="1"/>
        <v>0</v>
      </c>
      <c r="H12" s="759">
        <f>Circulantes!K24</f>
        <v>0</v>
      </c>
      <c r="I12" s="917">
        <f t="shared" si="2"/>
        <v>0</v>
      </c>
      <c r="J12" s="759">
        <f>Circulantes!N24</f>
        <v>0</v>
      </c>
      <c r="K12" s="917">
        <f t="shared" si="3"/>
        <v>0</v>
      </c>
      <c r="L12" s="759">
        <f>Circulantes!Q24</f>
        <v>0</v>
      </c>
      <c r="M12" s="917">
        <f t="shared" si="4"/>
        <v>0</v>
      </c>
      <c r="N12" s="759">
        <f>Circulantes!T24</f>
        <v>0</v>
      </c>
      <c r="O12" s="917">
        <f t="shared" si="5"/>
        <v>0</v>
      </c>
    </row>
    <row r="13" spans="1:22" s="171" customFormat="1" ht="15">
      <c r="A13" s="228"/>
      <c r="B13" s="229" t="s">
        <v>2</v>
      </c>
      <c r="C13" s="229" t="str">
        <f>Circulantes!B26</f>
        <v>Otras cuentas a cobrar</v>
      </c>
      <c r="D13" s="754">
        <f>SUM('Balance inicial'!D33:D38)+Circulantes!E25</f>
        <v>0</v>
      </c>
      <c r="E13" s="895">
        <f t="shared" si="0"/>
        <v>0</v>
      </c>
      <c r="F13" s="759">
        <f>SUM(Circulantes!H25:H26)</f>
        <v>0</v>
      </c>
      <c r="G13" s="917">
        <f t="shared" si="1"/>
        <v>0</v>
      </c>
      <c r="H13" s="759">
        <f>SUM(Circulantes!K25:K26)</f>
        <v>0</v>
      </c>
      <c r="I13" s="917">
        <f t="shared" si="2"/>
        <v>0</v>
      </c>
      <c r="J13" s="759">
        <f>SUM(Circulantes!N25:N26)</f>
        <v>0</v>
      </c>
      <c r="K13" s="917">
        <f t="shared" si="3"/>
        <v>0</v>
      </c>
      <c r="L13" s="759">
        <f>SUM(Circulantes!Q25:Q26)</f>
        <v>0</v>
      </c>
      <c r="M13" s="917">
        <f t="shared" si="4"/>
        <v>0</v>
      </c>
      <c r="N13" s="759">
        <f>SUM(Circulantes!T25:T26)</f>
        <v>0</v>
      </c>
      <c r="O13" s="917">
        <f t="shared" si="5"/>
        <v>0</v>
      </c>
    </row>
    <row r="14" spans="1:22" s="171" customFormat="1" ht="22.5" customHeight="1" thickBot="1">
      <c r="A14" s="298"/>
      <c r="B14" s="299" t="s">
        <v>2</v>
      </c>
      <c r="C14" s="299" t="s">
        <v>53</v>
      </c>
      <c r="D14" s="899">
        <f>'Presupuesto de capital'!D26</f>
        <v>0</v>
      </c>
      <c r="E14" s="900">
        <f t="shared" si="0"/>
        <v>0</v>
      </c>
      <c r="F14" s="901">
        <f>'Presupuesto de capital'!$E$26</f>
        <v>0</v>
      </c>
      <c r="G14" s="919">
        <f t="shared" si="1"/>
        <v>0</v>
      </c>
      <c r="H14" s="901">
        <f>'Presupuesto de capital'!$F$26</f>
        <v>0</v>
      </c>
      <c r="I14" s="919">
        <f t="shared" si="2"/>
        <v>0</v>
      </c>
      <c r="J14" s="901">
        <f>'Presupuesto de capital'!$G$26</f>
        <v>0</v>
      </c>
      <c r="K14" s="919">
        <f t="shared" si="3"/>
        <v>0</v>
      </c>
      <c r="L14" s="901">
        <f>'Presupuesto de capital'!$H$26</f>
        <v>0</v>
      </c>
      <c r="M14" s="919">
        <f t="shared" si="4"/>
        <v>0</v>
      </c>
      <c r="N14" s="901">
        <f>'Presupuesto de capital'!$I$26</f>
        <v>0</v>
      </c>
      <c r="O14" s="919">
        <f t="shared" si="5"/>
        <v>0</v>
      </c>
    </row>
    <row r="15" spans="1:22" s="71" customFormat="1" ht="33" customHeight="1" thickBot="1">
      <c r="A15" s="938" t="s">
        <v>70</v>
      </c>
      <c r="B15" s="939"/>
      <c r="C15" s="939"/>
      <c r="D15" s="902">
        <f t="shared" ref="D15:N15" si="7">D3+D10</f>
        <v>0</v>
      </c>
      <c r="E15" s="903">
        <f t="shared" si="0"/>
        <v>0</v>
      </c>
      <c r="F15" s="904">
        <f t="shared" si="7"/>
        <v>0</v>
      </c>
      <c r="G15" s="920">
        <f t="shared" si="1"/>
        <v>0</v>
      </c>
      <c r="H15" s="904">
        <f t="shared" si="7"/>
        <v>0</v>
      </c>
      <c r="I15" s="920">
        <f t="shared" si="2"/>
        <v>0</v>
      </c>
      <c r="J15" s="904">
        <f t="shared" si="7"/>
        <v>0</v>
      </c>
      <c r="K15" s="920">
        <f t="shared" si="3"/>
        <v>0</v>
      </c>
      <c r="L15" s="904">
        <f t="shared" si="7"/>
        <v>0</v>
      </c>
      <c r="M15" s="920">
        <f t="shared" si="4"/>
        <v>0</v>
      </c>
      <c r="N15" s="904">
        <f t="shared" si="7"/>
        <v>0</v>
      </c>
      <c r="O15" s="920">
        <f t="shared" si="5"/>
        <v>0</v>
      </c>
      <c r="P15" s="73">
        <f>D15-D34</f>
        <v>0</v>
      </c>
      <c r="Q15" s="73">
        <f>F15-F34</f>
        <v>0</v>
      </c>
      <c r="R15" s="73">
        <f>H15-H34</f>
        <v>0</v>
      </c>
      <c r="S15" s="73">
        <f>J15-J34</f>
        <v>0</v>
      </c>
      <c r="T15" s="73">
        <f>L15-L34</f>
        <v>0</v>
      </c>
      <c r="U15" s="73">
        <f>N15-N34</f>
        <v>0</v>
      </c>
      <c r="V15" s="73"/>
    </row>
    <row r="16" spans="1:22" s="71" customFormat="1" ht="21.75" customHeight="1">
      <c r="A16" s="226" t="s">
        <v>63</v>
      </c>
      <c r="B16" s="227" t="s">
        <v>255</v>
      </c>
      <c r="C16" s="227"/>
      <c r="D16" s="905">
        <f t="shared" ref="D16:N16" si="8">SUM(D17:D23)</f>
        <v>0</v>
      </c>
      <c r="E16" s="906">
        <f t="shared" ref="E16:E34" si="9">IF($D$34&lt;&gt;0,D16/$D$34,0)</f>
        <v>0</v>
      </c>
      <c r="F16" s="907">
        <f t="shared" si="8"/>
        <v>0</v>
      </c>
      <c r="G16" s="921">
        <f t="shared" ref="G16:G34" si="10">IF($F$34&lt;&gt;0,F16/$F$34,0)</f>
        <v>0</v>
      </c>
      <c r="H16" s="907">
        <f t="shared" si="8"/>
        <v>0</v>
      </c>
      <c r="I16" s="921">
        <f t="shared" ref="I16:I34" si="11">IF($H$34&lt;&gt;0,H16/$H$34,0)</f>
        <v>0</v>
      </c>
      <c r="J16" s="907">
        <f t="shared" si="8"/>
        <v>0</v>
      </c>
      <c r="K16" s="921">
        <f t="shared" ref="K16:K34" si="12">IF($J$34&lt;&gt;0,J16/$J$34,0)</f>
        <v>0</v>
      </c>
      <c r="L16" s="907">
        <f t="shared" si="8"/>
        <v>0</v>
      </c>
      <c r="M16" s="921">
        <f t="shared" ref="M16:M34" si="13">IF($L$34&lt;&gt;0,L16/$L$34,0)</f>
        <v>0</v>
      </c>
      <c r="N16" s="907">
        <f t="shared" si="8"/>
        <v>0</v>
      </c>
      <c r="O16" s="921">
        <f t="shared" ref="O16:O34" si="14">IF($N$34&lt;&gt;0,N16/$N$34,0)</f>
        <v>0</v>
      </c>
    </row>
    <row r="17" spans="1:15" s="171" customFormat="1" ht="15">
      <c r="A17" s="228"/>
      <c r="B17" s="229" t="s">
        <v>2</v>
      </c>
      <c r="C17" s="229" t="s">
        <v>65</v>
      </c>
      <c r="D17" s="754">
        <f>'Balance inicial'!I4+'Financiación a lp'!C5</f>
        <v>0</v>
      </c>
      <c r="E17" s="895">
        <f t="shared" si="9"/>
        <v>0</v>
      </c>
      <c r="F17" s="759">
        <f>D17+'Financiación a lp'!D5</f>
        <v>0</v>
      </c>
      <c r="G17" s="917">
        <f t="shared" si="10"/>
        <v>0</v>
      </c>
      <c r="H17" s="759">
        <f>F17+'Financiación a lp'!E5</f>
        <v>0</v>
      </c>
      <c r="I17" s="917">
        <f t="shared" si="11"/>
        <v>0</v>
      </c>
      <c r="J17" s="759">
        <f>H17+'Financiación a lp'!F5</f>
        <v>0</v>
      </c>
      <c r="K17" s="917">
        <f t="shared" si="12"/>
        <v>0</v>
      </c>
      <c r="L17" s="759">
        <f>J17+'Financiación a lp'!G5</f>
        <v>0</v>
      </c>
      <c r="M17" s="917">
        <f t="shared" si="13"/>
        <v>0</v>
      </c>
      <c r="N17" s="759">
        <f>L17+'Financiación a lp'!H5</f>
        <v>0</v>
      </c>
      <c r="O17" s="917">
        <f t="shared" si="14"/>
        <v>0</v>
      </c>
    </row>
    <row r="18" spans="1:15" s="171" customFormat="1" ht="15">
      <c r="A18" s="228"/>
      <c r="B18" s="229" t="s">
        <v>2</v>
      </c>
      <c r="C18" s="229" t="s">
        <v>264</v>
      </c>
      <c r="D18" s="754">
        <f>'Balance inicial'!I5</f>
        <v>0</v>
      </c>
      <c r="E18" s="895">
        <f t="shared" si="9"/>
        <v>0</v>
      </c>
      <c r="F18" s="759">
        <f>'Financiación a lp'!D6</f>
        <v>0</v>
      </c>
      <c r="G18" s="917">
        <f t="shared" si="10"/>
        <v>0</v>
      </c>
      <c r="H18" s="759">
        <f>'Financiación a lp'!E6</f>
        <v>0</v>
      </c>
      <c r="I18" s="917">
        <f t="shared" si="11"/>
        <v>0</v>
      </c>
      <c r="J18" s="759">
        <f>'Financiación a lp'!F6</f>
        <v>0</v>
      </c>
      <c r="K18" s="917">
        <f t="shared" si="12"/>
        <v>0</v>
      </c>
      <c r="L18" s="759">
        <f>'Financiación a lp'!G6</f>
        <v>0</v>
      </c>
      <c r="M18" s="917">
        <f t="shared" si="13"/>
        <v>0</v>
      </c>
      <c r="N18" s="759">
        <f>'Financiación a lp'!H6</f>
        <v>0</v>
      </c>
      <c r="O18" s="917">
        <f t="shared" si="14"/>
        <v>0</v>
      </c>
    </row>
    <row r="19" spans="1:15" s="171" customFormat="1" ht="15">
      <c r="A19" s="228"/>
      <c r="B19" s="229" t="s">
        <v>2</v>
      </c>
      <c r="C19" s="229" t="s">
        <v>73</v>
      </c>
      <c r="D19" s="754">
        <f>'Balance inicial'!I6</f>
        <v>0</v>
      </c>
      <c r="E19" s="895">
        <f t="shared" si="9"/>
        <v>0</v>
      </c>
      <c r="F19" s="759">
        <f>$D$19</f>
        <v>0</v>
      </c>
      <c r="G19" s="917">
        <f t="shared" si="10"/>
        <v>0</v>
      </c>
      <c r="H19" s="759">
        <f>F19</f>
        <v>0</v>
      </c>
      <c r="I19" s="917">
        <f t="shared" si="11"/>
        <v>0</v>
      </c>
      <c r="J19" s="759">
        <f>$H19</f>
        <v>0</v>
      </c>
      <c r="K19" s="917">
        <f t="shared" si="12"/>
        <v>0</v>
      </c>
      <c r="L19" s="759">
        <f>$J$19</f>
        <v>0</v>
      </c>
      <c r="M19" s="917">
        <f t="shared" si="13"/>
        <v>0</v>
      </c>
      <c r="N19" s="759">
        <f>$L$19</f>
        <v>0</v>
      </c>
      <c r="O19" s="917">
        <f t="shared" si="14"/>
        <v>0</v>
      </c>
    </row>
    <row r="20" spans="1:15" s="171" customFormat="1" ht="15">
      <c r="A20" s="228"/>
      <c r="B20" s="229" t="s">
        <v>2</v>
      </c>
      <c r="C20" s="229" t="s">
        <v>448</v>
      </c>
      <c r="D20" s="754">
        <f>'Balance inicial'!I8</f>
        <v>0</v>
      </c>
      <c r="E20" s="895">
        <f t="shared" si="9"/>
        <v>0</v>
      </c>
      <c r="F20" s="759">
        <f>D20+D21</f>
        <v>0</v>
      </c>
      <c r="G20" s="917">
        <f t="shared" si="10"/>
        <v>0</v>
      </c>
      <c r="H20" s="759">
        <f>F20+F21</f>
        <v>0</v>
      </c>
      <c r="I20" s="917">
        <f t="shared" si="11"/>
        <v>0</v>
      </c>
      <c r="J20" s="759">
        <f>H20+H21</f>
        <v>0</v>
      </c>
      <c r="K20" s="917">
        <f t="shared" si="12"/>
        <v>0</v>
      </c>
      <c r="L20" s="759">
        <f>J20+J21</f>
        <v>0</v>
      </c>
      <c r="M20" s="917">
        <f t="shared" si="13"/>
        <v>0</v>
      </c>
      <c r="N20" s="759">
        <f>L20+L21</f>
        <v>0</v>
      </c>
      <c r="O20" s="917">
        <f t="shared" si="14"/>
        <v>0</v>
      </c>
    </row>
    <row r="21" spans="1:15" s="171" customFormat="1" ht="15">
      <c r="A21" s="228"/>
      <c r="B21" s="229" t="s">
        <v>2</v>
      </c>
      <c r="C21" s="229" t="s">
        <v>450</v>
      </c>
      <c r="D21" s="754">
        <f>'Balance inicial'!I10</f>
        <v>0</v>
      </c>
      <c r="E21" s="895">
        <f t="shared" si="9"/>
        <v>0</v>
      </c>
      <c r="F21" s="759">
        <f>Resultados!$D$26</f>
        <v>0</v>
      </c>
      <c r="G21" s="917">
        <f t="shared" si="10"/>
        <v>0</v>
      </c>
      <c r="H21" s="759">
        <f>Resultados!$G$26</f>
        <v>0</v>
      </c>
      <c r="I21" s="917">
        <f t="shared" si="11"/>
        <v>0</v>
      </c>
      <c r="J21" s="759">
        <f>Resultados!$J$26</f>
        <v>0</v>
      </c>
      <c r="K21" s="917">
        <f t="shared" si="12"/>
        <v>0</v>
      </c>
      <c r="L21" s="759">
        <f>Resultados!$M$26</f>
        <v>0</v>
      </c>
      <c r="M21" s="917">
        <f t="shared" si="13"/>
        <v>0</v>
      </c>
      <c r="N21" s="759">
        <f>Resultados!$P$26</f>
        <v>0</v>
      </c>
      <c r="O21" s="917">
        <f t="shared" si="14"/>
        <v>0</v>
      </c>
    </row>
    <row r="22" spans="1:15" s="171" customFormat="1" ht="15">
      <c r="A22" s="228"/>
      <c r="B22" s="229" t="s">
        <v>2</v>
      </c>
      <c r="C22" s="229" t="s">
        <v>449</v>
      </c>
      <c r="D22" s="754">
        <f>'Balance inicial'!I7+'Balance inicial'!I9+'Balance inicial'!I11</f>
        <v>0</v>
      </c>
      <c r="E22" s="895">
        <f t="shared" si="9"/>
        <v>0</v>
      </c>
      <c r="F22" s="754">
        <f>'Financiación a lp'!D8+'Financiación a lp'!D10+'Financiación a lp'!D12</f>
        <v>0</v>
      </c>
      <c r="G22" s="917">
        <f t="shared" si="10"/>
        <v>0</v>
      </c>
      <c r="H22" s="754">
        <f>'Financiación a lp'!E8+'Financiación a lp'!E10+'Financiación a lp'!E12</f>
        <v>0</v>
      </c>
      <c r="I22" s="917">
        <f t="shared" si="11"/>
        <v>0</v>
      </c>
      <c r="J22" s="754">
        <f>'Financiación a lp'!F8+'Financiación a lp'!F10+'Financiación a lp'!F12</f>
        <v>0</v>
      </c>
      <c r="K22" s="917">
        <f t="shared" si="12"/>
        <v>0</v>
      </c>
      <c r="L22" s="754">
        <f>'Financiación a lp'!G8+'Financiación a lp'!G10+'Financiación a lp'!G12</f>
        <v>0</v>
      </c>
      <c r="M22" s="917">
        <f t="shared" si="13"/>
        <v>0</v>
      </c>
      <c r="N22" s="754">
        <f>'Financiación a lp'!H8+'Financiación a lp'!H10+'Financiación a lp'!H12</f>
        <v>0</v>
      </c>
      <c r="O22" s="917">
        <f t="shared" si="14"/>
        <v>0</v>
      </c>
    </row>
    <row r="23" spans="1:15" s="171" customFormat="1" ht="15">
      <c r="A23" s="228"/>
      <c r="B23" s="229" t="s">
        <v>2</v>
      </c>
      <c r="C23" s="229" t="s">
        <v>153</v>
      </c>
      <c r="D23" s="754">
        <f>'Balance inicial'!I12+'Financiación a lp'!C13</f>
        <v>0</v>
      </c>
      <c r="E23" s="895">
        <f t="shared" si="9"/>
        <v>0</v>
      </c>
      <c r="F23" s="759">
        <f>D23+'Financiación a lp'!D13-Resultados!C10</f>
        <v>0</v>
      </c>
      <c r="G23" s="917">
        <f t="shared" si="10"/>
        <v>0</v>
      </c>
      <c r="H23" s="759">
        <f>'Financiación a lp'!E13+F23-Resultados!F10</f>
        <v>0</v>
      </c>
      <c r="I23" s="917">
        <f t="shared" si="11"/>
        <v>0</v>
      </c>
      <c r="J23" s="759">
        <f>'Financiación a lp'!F13+H23-Resultados!I10</f>
        <v>0</v>
      </c>
      <c r="K23" s="917">
        <f t="shared" si="12"/>
        <v>0</v>
      </c>
      <c r="L23" s="759">
        <f>'Financiación a lp'!G13+J23-Resultados!L10</f>
        <v>0</v>
      </c>
      <c r="M23" s="917">
        <f t="shared" si="13"/>
        <v>0</v>
      </c>
      <c r="N23" s="759">
        <f>'Financiación a lp'!H13+L23-Resultados!O10</f>
        <v>0</v>
      </c>
      <c r="O23" s="917">
        <f t="shared" si="14"/>
        <v>0</v>
      </c>
    </row>
    <row r="24" spans="1:15" s="71" customFormat="1" ht="21.75" customHeight="1">
      <c r="A24" s="230" t="s">
        <v>63</v>
      </c>
      <c r="B24" s="231" t="s">
        <v>259</v>
      </c>
      <c r="C24" s="231"/>
      <c r="D24" s="896">
        <f>SUM(D25:D26)</f>
        <v>0</v>
      </c>
      <c r="E24" s="897">
        <f t="shared" si="9"/>
        <v>0</v>
      </c>
      <c r="F24" s="898">
        <f>SUM(F25:F26)</f>
        <v>0</v>
      </c>
      <c r="G24" s="918">
        <f t="shared" si="10"/>
        <v>0</v>
      </c>
      <c r="H24" s="898">
        <f>SUM(H25:H26)</f>
        <v>0</v>
      </c>
      <c r="I24" s="918">
        <f t="shared" si="11"/>
        <v>0</v>
      </c>
      <c r="J24" s="898">
        <f>SUM(J25:J26)</f>
        <v>0</v>
      </c>
      <c r="K24" s="918">
        <f t="shared" si="12"/>
        <v>0</v>
      </c>
      <c r="L24" s="898">
        <f>SUM(L25:L26)</f>
        <v>0</v>
      </c>
      <c r="M24" s="918">
        <f t="shared" si="13"/>
        <v>0</v>
      </c>
      <c r="N24" s="898">
        <f>SUM(N25:N26)</f>
        <v>0</v>
      </c>
      <c r="O24" s="918">
        <f t="shared" si="14"/>
        <v>0</v>
      </c>
    </row>
    <row r="25" spans="1:15" s="171" customFormat="1" ht="15">
      <c r="A25" s="228"/>
      <c r="B25" s="229" t="s">
        <v>2</v>
      </c>
      <c r="C25" s="229" t="s">
        <v>256</v>
      </c>
      <c r="D25" s="754">
        <f>'Financiación a lp'!C16+'Financiación a lp'!C23</f>
        <v>0</v>
      </c>
      <c r="E25" s="895">
        <f t="shared" si="9"/>
        <v>0</v>
      </c>
      <c r="F25" s="759">
        <f>'Financiación a lp'!D162</f>
        <v>0</v>
      </c>
      <c r="G25" s="917">
        <f t="shared" si="10"/>
        <v>0</v>
      </c>
      <c r="H25" s="759">
        <f>'Financiación a lp'!D167</f>
        <v>0</v>
      </c>
      <c r="I25" s="917">
        <f t="shared" si="11"/>
        <v>0</v>
      </c>
      <c r="J25" s="759">
        <f>'Financiación a lp'!D172</f>
        <v>0</v>
      </c>
      <c r="K25" s="917">
        <f t="shared" si="12"/>
        <v>0</v>
      </c>
      <c r="L25" s="759">
        <f>'Financiación a lp'!D177</f>
        <v>0</v>
      </c>
      <c r="M25" s="917">
        <f t="shared" si="13"/>
        <v>0</v>
      </c>
      <c r="N25" s="759">
        <f>'Financiación a lp'!D182</f>
        <v>0</v>
      </c>
      <c r="O25" s="917">
        <f t="shared" si="14"/>
        <v>0</v>
      </c>
    </row>
    <row r="26" spans="1:15" s="179" customFormat="1" ht="15">
      <c r="A26" s="235"/>
      <c r="B26" s="229" t="s">
        <v>2</v>
      </c>
      <c r="C26" s="229" t="s">
        <v>272</v>
      </c>
      <c r="D26" s="754">
        <f>SUM('Balance inicial'!I17:I21)</f>
        <v>0</v>
      </c>
      <c r="E26" s="895">
        <f t="shared" si="9"/>
        <v>0</v>
      </c>
      <c r="F26" s="759">
        <f>'Financiación a lp'!D30</f>
        <v>0</v>
      </c>
      <c r="G26" s="917">
        <f t="shared" si="10"/>
        <v>0</v>
      </c>
      <c r="H26" s="759">
        <f>'Financiación a lp'!E30</f>
        <v>0</v>
      </c>
      <c r="I26" s="917">
        <f t="shared" si="11"/>
        <v>0</v>
      </c>
      <c r="J26" s="759">
        <f>'Financiación a lp'!F30</f>
        <v>0</v>
      </c>
      <c r="K26" s="917">
        <f t="shared" si="12"/>
        <v>0</v>
      </c>
      <c r="L26" s="759">
        <f>'Financiación a lp'!G30</f>
        <v>0</v>
      </c>
      <c r="M26" s="917">
        <f t="shared" si="13"/>
        <v>0</v>
      </c>
      <c r="N26" s="759">
        <f>'Financiación a lp'!H30</f>
        <v>0</v>
      </c>
      <c r="O26" s="917">
        <f t="shared" si="14"/>
        <v>0</v>
      </c>
    </row>
    <row r="27" spans="1:15" s="71" customFormat="1" ht="21.75" customHeight="1">
      <c r="A27" s="230" t="s">
        <v>63</v>
      </c>
      <c r="B27" s="231" t="s">
        <v>260</v>
      </c>
      <c r="C27" s="231"/>
      <c r="D27" s="896">
        <f t="shared" ref="D27:N27" si="15">SUM(D28:D33)</f>
        <v>0</v>
      </c>
      <c r="E27" s="897">
        <f t="shared" si="9"/>
        <v>0</v>
      </c>
      <c r="F27" s="898">
        <f t="shared" si="15"/>
        <v>0</v>
      </c>
      <c r="G27" s="918">
        <f t="shared" si="10"/>
        <v>0</v>
      </c>
      <c r="H27" s="898">
        <f t="shared" si="15"/>
        <v>0</v>
      </c>
      <c r="I27" s="918">
        <f t="shared" si="11"/>
        <v>0</v>
      </c>
      <c r="J27" s="898">
        <f t="shared" si="15"/>
        <v>0</v>
      </c>
      <c r="K27" s="918">
        <f t="shared" si="12"/>
        <v>0</v>
      </c>
      <c r="L27" s="898">
        <f t="shared" si="15"/>
        <v>0</v>
      </c>
      <c r="M27" s="918">
        <f t="shared" si="13"/>
        <v>0</v>
      </c>
      <c r="N27" s="898">
        <f t="shared" si="15"/>
        <v>0</v>
      </c>
      <c r="O27" s="918">
        <f t="shared" si="14"/>
        <v>0</v>
      </c>
    </row>
    <row r="28" spans="1:15" s="179" customFormat="1" ht="15">
      <c r="A28" s="235"/>
      <c r="B28" s="229" t="s">
        <v>2</v>
      </c>
      <c r="C28" s="229" t="s">
        <v>266</v>
      </c>
      <c r="D28" s="754">
        <f>SUM('Balance inicial'!I26:I29)</f>
        <v>0</v>
      </c>
      <c r="E28" s="895">
        <f t="shared" si="9"/>
        <v>0</v>
      </c>
      <c r="F28" s="759">
        <f>'Financiación a lp'!D31</f>
        <v>0</v>
      </c>
      <c r="G28" s="917">
        <f t="shared" si="10"/>
        <v>0</v>
      </c>
      <c r="H28" s="759">
        <f>'Financiación a lp'!E31</f>
        <v>0</v>
      </c>
      <c r="I28" s="917">
        <f t="shared" si="11"/>
        <v>0</v>
      </c>
      <c r="J28" s="759">
        <f>'Financiación a lp'!F31</f>
        <v>0</v>
      </c>
      <c r="K28" s="917">
        <f t="shared" si="12"/>
        <v>0</v>
      </c>
      <c r="L28" s="759">
        <f>'Financiación a lp'!G31</f>
        <v>0</v>
      </c>
      <c r="M28" s="917">
        <f t="shared" si="13"/>
        <v>0</v>
      </c>
      <c r="N28" s="759">
        <f>'Financiación a lp'!H31</f>
        <v>0</v>
      </c>
      <c r="O28" s="917">
        <f t="shared" si="14"/>
        <v>0</v>
      </c>
    </row>
    <row r="29" spans="1:15" s="171" customFormat="1" ht="15">
      <c r="A29" s="228"/>
      <c r="B29" s="229" t="s">
        <v>2</v>
      </c>
      <c r="C29" s="229" t="str">
        <f>Circulantes!B31</f>
        <v>Acreedores comerciales</v>
      </c>
      <c r="D29" s="754">
        <f>'Balance inicial'!I30</f>
        <v>0</v>
      </c>
      <c r="E29" s="895">
        <f t="shared" si="9"/>
        <v>0</v>
      </c>
      <c r="F29" s="759">
        <f>Circulantes!H31</f>
        <v>0</v>
      </c>
      <c r="G29" s="917">
        <f t="shared" si="10"/>
        <v>0</v>
      </c>
      <c r="H29" s="759">
        <f>Circulantes!K31</f>
        <v>0</v>
      </c>
      <c r="I29" s="917">
        <f t="shared" si="11"/>
        <v>0</v>
      </c>
      <c r="J29" s="759">
        <f>Circulantes!N31</f>
        <v>0</v>
      </c>
      <c r="K29" s="917">
        <f t="shared" si="12"/>
        <v>0</v>
      </c>
      <c r="L29" s="759">
        <f>Circulantes!Q31</f>
        <v>0</v>
      </c>
      <c r="M29" s="917">
        <f t="shared" si="13"/>
        <v>0</v>
      </c>
      <c r="N29" s="759">
        <f>Circulantes!T31</f>
        <v>0</v>
      </c>
      <c r="O29" s="917">
        <f t="shared" si="14"/>
        <v>0</v>
      </c>
    </row>
    <row r="30" spans="1:15" s="171" customFormat="1" ht="15">
      <c r="A30" s="228"/>
      <c r="B30" s="229" t="s">
        <v>2</v>
      </c>
      <c r="C30" s="229" t="str">
        <f>Circulantes!B32</f>
        <v>Dividendos a pagar</v>
      </c>
      <c r="D30" s="754">
        <f>'Balance inicial'!I31</f>
        <v>0</v>
      </c>
      <c r="E30" s="895">
        <f t="shared" si="9"/>
        <v>0</v>
      </c>
      <c r="F30" s="759">
        <f>Circulantes!H32</f>
        <v>0</v>
      </c>
      <c r="G30" s="917">
        <f t="shared" si="10"/>
        <v>0</v>
      </c>
      <c r="H30" s="759">
        <f>Circulantes!K32</f>
        <v>0</v>
      </c>
      <c r="I30" s="917">
        <f t="shared" si="11"/>
        <v>0</v>
      </c>
      <c r="J30" s="759">
        <f>Circulantes!N32</f>
        <v>0</v>
      </c>
      <c r="K30" s="917">
        <f t="shared" si="12"/>
        <v>0</v>
      </c>
      <c r="L30" s="759">
        <f>Circulantes!Q32</f>
        <v>0</v>
      </c>
      <c r="M30" s="917">
        <f t="shared" si="13"/>
        <v>0</v>
      </c>
      <c r="N30" s="759">
        <f>Circulantes!T32</f>
        <v>0</v>
      </c>
      <c r="O30" s="917">
        <f t="shared" si="14"/>
        <v>0</v>
      </c>
    </row>
    <row r="31" spans="1:15" s="171" customFormat="1" ht="15">
      <c r="A31" s="228"/>
      <c r="B31" s="229" t="s">
        <v>2</v>
      </c>
      <c r="C31" s="229" t="s">
        <v>258</v>
      </c>
      <c r="D31" s="754">
        <f>SUM('Balance inicial'!I32:I34)</f>
        <v>0</v>
      </c>
      <c r="E31" s="895">
        <f t="shared" si="9"/>
        <v>0</v>
      </c>
      <c r="F31" s="759">
        <f>SUM(Circulantes!H33:H35)</f>
        <v>0</v>
      </c>
      <c r="G31" s="917">
        <f t="shared" si="10"/>
        <v>0</v>
      </c>
      <c r="H31" s="759">
        <f>SUM(Circulantes!K33:K35)</f>
        <v>0</v>
      </c>
      <c r="I31" s="917">
        <f t="shared" si="11"/>
        <v>0</v>
      </c>
      <c r="J31" s="759">
        <f>SUM(Circulantes!N33:N35)</f>
        <v>0</v>
      </c>
      <c r="K31" s="917">
        <f t="shared" si="12"/>
        <v>0</v>
      </c>
      <c r="L31" s="759">
        <f>SUM(Circulantes!Q33:Q35)</f>
        <v>0</v>
      </c>
      <c r="M31" s="917">
        <f t="shared" si="13"/>
        <v>0</v>
      </c>
      <c r="N31" s="759">
        <f>SUM(Circulantes!T33:T35)</f>
        <v>0</v>
      </c>
      <c r="O31" s="917">
        <f t="shared" si="14"/>
        <v>0</v>
      </c>
    </row>
    <row r="32" spans="1:15" s="171" customFormat="1" ht="15">
      <c r="A32" s="228"/>
      <c r="B32" s="229" t="s">
        <v>2</v>
      </c>
      <c r="C32" s="229" t="str">
        <f>Circulantes!B36</f>
        <v>Organismos de la S.S. acreedores</v>
      </c>
      <c r="D32" s="754">
        <f>'Balance inicial'!I35</f>
        <v>0</v>
      </c>
      <c r="E32" s="895">
        <f t="shared" si="9"/>
        <v>0</v>
      </c>
      <c r="F32" s="759">
        <f>Circulantes!H36</f>
        <v>0</v>
      </c>
      <c r="G32" s="917">
        <f t="shared" si="10"/>
        <v>0</v>
      </c>
      <c r="H32" s="759">
        <f>Circulantes!K36</f>
        <v>0</v>
      </c>
      <c r="I32" s="917">
        <f t="shared" si="11"/>
        <v>0</v>
      </c>
      <c r="J32" s="759">
        <f>Circulantes!N36</f>
        <v>0</v>
      </c>
      <c r="K32" s="917">
        <f t="shared" si="12"/>
        <v>0</v>
      </c>
      <c r="L32" s="759">
        <f>Circulantes!Q36</f>
        <v>0</v>
      </c>
      <c r="M32" s="917">
        <f t="shared" si="13"/>
        <v>0</v>
      </c>
      <c r="N32" s="759">
        <f>Circulantes!T36</f>
        <v>0</v>
      </c>
      <c r="O32" s="917">
        <f t="shared" si="14"/>
        <v>0</v>
      </c>
    </row>
    <row r="33" spans="1:15" s="171" customFormat="1" ht="15">
      <c r="A33" s="228"/>
      <c r="B33" s="229" t="s">
        <v>2</v>
      </c>
      <c r="C33" s="229" t="str">
        <f>Circulantes!B37</f>
        <v>Otras cuentas a pagar no financieras</v>
      </c>
      <c r="D33" s="754">
        <f>'Balance inicial'!I36</f>
        <v>0</v>
      </c>
      <c r="E33" s="908">
        <f t="shared" si="9"/>
        <v>0</v>
      </c>
      <c r="F33" s="759">
        <f>Circulantes!H37</f>
        <v>0</v>
      </c>
      <c r="G33" s="922">
        <f t="shared" si="10"/>
        <v>0</v>
      </c>
      <c r="H33" s="759">
        <f>Circulantes!K37</f>
        <v>0</v>
      </c>
      <c r="I33" s="922">
        <f t="shared" si="11"/>
        <v>0</v>
      </c>
      <c r="J33" s="759">
        <f>Circulantes!N37</f>
        <v>0</v>
      </c>
      <c r="K33" s="922">
        <f t="shared" si="12"/>
        <v>0</v>
      </c>
      <c r="L33" s="759">
        <f>Circulantes!Q37</f>
        <v>0</v>
      </c>
      <c r="M33" s="922">
        <f t="shared" si="13"/>
        <v>0</v>
      </c>
      <c r="N33" s="759">
        <f>Circulantes!T37</f>
        <v>0</v>
      </c>
      <c r="O33" s="922">
        <f t="shared" si="14"/>
        <v>0</v>
      </c>
    </row>
    <row r="34" spans="1:15" s="71" customFormat="1" ht="33" customHeight="1" thickBot="1">
      <c r="A34" s="1074" t="s">
        <v>297</v>
      </c>
      <c r="B34" s="933"/>
      <c r="C34" s="933"/>
      <c r="D34" s="909">
        <f>D16+D24+D27</f>
        <v>0</v>
      </c>
      <c r="E34" s="910">
        <f t="shared" si="9"/>
        <v>0</v>
      </c>
      <c r="F34" s="766">
        <f>F16+F24+F27</f>
        <v>0</v>
      </c>
      <c r="G34" s="923">
        <f t="shared" si="10"/>
        <v>0</v>
      </c>
      <c r="H34" s="766">
        <f>H16+H24+H27</f>
        <v>0</v>
      </c>
      <c r="I34" s="923">
        <f t="shared" si="11"/>
        <v>0</v>
      </c>
      <c r="J34" s="766">
        <f>J16+J24+J27</f>
        <v>0</v>
      </c>
      <c r="K34" s="923">
        <f t="shared" si="12"/>
        <v>0</v>
      </c>
      <c r="L34" s="766">
        <f>L16+L24+L27</f>
        <v>0</v>
      </c>
      <c r="M34" s="923">
        <f t="shared" si="13"/>
        <v>0</v>
      </c>
      <c r="N34" s="766">
        <f>N16+N24+N27</f>
        <v>0</v>
      </c>
      <c r="O34" s="923">
        <f t="shared" si="14"/>
        <v>0</v>
      </c>
    </row>
    <row r="35" spans="1:15" ht="9" customHeight="1" thickBot="1">
      <c r="D35" s="911"/>
      <c r="E35" s="912"/>
      <c r="F35" s="911"/>
      <c r="G35" s="924"/>
      <c r="H35" s="911"/>
      <c r="I35" s="924"/>
      <c r="J35" s="911"/>
      <c r="K35" s="924"/>
      <c r="L35" s="911"/>
      <c r="M35" s="924"/>
      <c r="N35" s="911"/>
      <c r="O35" s="924"/>
    </row>
    <row r="36" spans="1:15" ht="32.25" customHeight="1" thickBot="1">
      <c r="A36" s="1071" t="s">
        <v>372</v>
      </c>
      <c r="B36" s="1017"/>
      <c r="C36" s="1017"/>
      <c r="D36" s="913">
        <f>D10-D27</f>
        <v>0</v>
      </c>
      <c r="E36" s="903">
        <f>IF($D$34&lt;&gt;0,D36/$D$34,0)</f>
        <v>0</v>
      </c>
      <c r="F36" s="913">
        <f>F10-F27</f>
        <v>0</v>
      </c>
      <c r="G36" s="920">
        <f>IF($F$34&lt;&gt;0,F36/$F$34,0)</f>
        <v>0</v>
      </c>
      <c r="H36" s="913">
        <f>H10-H27</f>
        <v>0</v>
      </c>
      <c r="I36" s="920">
        <f>IF($H$34&lt;&gt;0,H36/$H$34,0)</f>
        <v>0</v>
      </c>
      <c r="J36" s="913">
        <f>J10-J27</f>
        <v>0</v>
      </c>
      <c r="K36" s="920">
        <f>IF($J$34&lt;&gt;0,J36/$J$34,0)</f>
        <v>0</v>
      </c>
      <c r="L36" s="913">
        <f>L10-L27</f>
        <v>0</v>
      </c>
      <c r="M36" s="920">
        <f>IF($L$34&lt;&gt;0,L36/$L$34,0)</f>
        <v>0</v>
      </c>
      <c r="N36" s="913">
        <f>N10-N27</f>
        <v>0</v>
      </c>
      <c r="O36" s="920">
        <f>IF($N$34&lt;&gt;0,N36/$N$34,0)</f>
        <v>0</v>
      </c>
    </row>
    <row r="37" spans="1:15" ht="9.75" customHeight="1" thickBot="1">
      <c r="A37" s="498"/>
      <c r="B37" s="498"/>
      <c r="C37" s="498"/>
      <c r="D37" s="914"/>
      <c r="E37" s="915"/>
      <c r="F37" s="914"/>
      <c r="G37" s="925"/>
      <c r="H37" s="914"/>
      <c r="I37" s="925"/>
      <c r="J37" s="914"/>
      <c r="K37" s="925"/>
      <c r="L37" s="914"/>
      <c r="M37" s="925"/>
      <c r="N37" s="914"/>
      <c r="O37" s="925"/>
    </row>
    <row r="38" spans="1:15" ht="40.5" customHeight="1" thickBot="1">
      <c r="A38" s="1072" t="s">
        <v>447</v>
      </c>
      <c r="B38" s="1073"/>
      <c r="C38" s="1073"/>
      <c r="D38" s="913">
        <f>D11+D12-D29-D31-D32</f>
        <v>0</v>
      </c>
      <c r="E38" s="903">
        <f>IF($D$34&lt;&gt;0,D38/$D$34,0)</f>
        <v>0</v>
      </c>
      <c r="F38" s="913">
        <f>F11+F12-F29-F31-F32</f>
        <v>0</v>
      </c>
      <c r="G38" s="920">
        <f>IF($F$34&lt;&gt;0,F38/$F$34,0)</f>
        <v>0</v>
      </c>
      <c r="H38" s="913">
        <f>H11+H12-H29-H31-H32</f>
        <v>0</v>
      </c>
      <c r="I38" s="920">
        <f>IF($H$34&lt;&gt;0,H38/$H$34,0)</f>
        <v>0</v>
      </c>
      <c r="J38" s="913">
        <f>J11+J12-J29-J31-J32</f>
        <v>0</v>
      </c>
      <c r="K38" s="920">
        <f>IF($J$34&lt;&gt;0,J38/$J$34,0)</f>
        <v>0</v>
      </c>
      <c r="L38" s="913">
        <f>L11+L12-L29-L31-L32</f>
        <v>0</v>
      </c>
      <c r="M38" s="920">
        <f>IF($L$34&lt;&gt;0,L38/$L$34,0)</f>
        <v>0</v>
      </c>
      <c r="N38" s="913">
        <f>N11+N12-N29-N31-N32</f>
        <v>0</v>
      </c>
      <c r="O38" s="920">
        <f>IF($N$34&lt;&gt;0,N38/$N$34,0)</f>
        <v>0</v>
      </c>
    </row>
  </sheetData>
  <sheetProtection password="A6E9" sheet="1" formatColumns="0"/>
  <mergeCells count="11">
    <mergeCell ref="N2:O2"/>
    <mergeCell ref="A2:C2"/>
    <mergeCell ref="D2:E2"/>
    <mergeCell ref="F2:G2"/>
    <mergeCell ref="H2:I2"/>
    <mergeCell ref="A36:C36"/>
    <mergeCell ref="A38:C38"/>
    <mergeCell ref="A15:C15"/>
    <mergeCell ref="A34:C34"/>
    <mergeCell ref="J2:K2"/>
    <mergeCell ref="L2:M2"/>
  </mergeCells>
  <phoneticPr fontId="0" type="noConversion"/>
  <printOptions horizontalCentered="1" gridLinesSet="0"/>
  <pageMargins left="0.59" right="0.6" top="0.95" bottom="0.93" header="0.51" footer="0.56000000000000005"/>
  <pageSetup paperSize="9" scale="70" orientation="landscape" horizontalDpi="240" verticalDpi="4294967292" r:id="rId1"/>
  <headerFooter alignWithMargins="0">
    <oddHeader>&amp;C&amp;"Trebuchet MS,Normal"&amp;14&amp;U&amp;A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Button 1">
              <controlPr defaultSize="0" print="0" autoFill="0" autoPict="0" macro="[0]!Inicio">
                <anchor moveWithCells="1" sizeWithCells="1">
                  <from>
                    <xdr:col>1</xdr:col>
                    <xdr:colOff>76200</xdr:colOff>
                    <xdr:row>0</xdr:row>
                    <xdr:rowOff>95250</xdr:rowOff>
                  </from>
                  <to>
                    <xdr:col>2</xdr:col>
                    <xdr:colOff>1038225</xdr:colOff>
                    <xdr:row>0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A1:J27"/>
  <sheetViews>
    <sheetView showGridLines="0" showZeros="0" zoomScaleNormal="100" workbookViewId="0">
      <selection activeCell="D4" sqref="D4"/>
    </sheetView>
  </sheetViews>
  <sheetFormatPr baseColWidth="10" defaultColWidth="0" defaultRowHeight="18"/>
  <cols>
    <col min="1" max="2" width="2.625" style="74" customWidth="1"/>
    <col min="3" max="3" width="38.5" style="74" bestFit="1" customWidth="1"/>
    <col min="4" max="10" width="13.625" style="74" customWidth="1"/>
    <col min="11" max="11" width="11.25" style="74" customWidth="1"/>
    <col min="12" max="16384" width="0" style="74" hidden="1"/>
  </cols>
  <sheetData>
    <row r="1" spans="1:10" ht="29.25" customHeight="1" thickBot="1"/>
    <row r="2" spans="1:10" ht="33" customHeight="1" thickBot="1">
      <c r="A2" s="1029" t="s">
        <v>59</v>
      </c>
      <c r="B2" s="1079"/>
      <c r="C2" s="1079"/>
      <c r="D2" s="1079"/>
      <c r="E2" s="1079"/>
      <c r="F2" s="1079"/>
      <c r="G2" s="1079"/>
      <c r="H2" s="1079"/>
      <c r="I2" s="1079"/>
      <c r="J2" s="1080"/>
    </row>
    <row r="3" spans="1:10" s="239" customFormat="1" ht="33" customHeight="1">
      <c r="A3" s="236"/>
      <c r="B3" s="237"/>
      <c r="C3" s="238" t="s">
        <v>0</v>
      </c>
      <c r="D3" s="770" t="s">
        <v>151</v>
      </c>
      <c r="E3" s="926" t="s">
        <v>60</v>
      </c>
      <c r="F3" s="926" t="s">
        <v>61</v>
      </c>
      <c r="G3" s="926" t="s">
        <v>62</v>
      </c>
      <c r="H3" s="926" t="s">
        <v>176</v>
      </c>
      <c r="I3" s="926" t="s">
        <v>177</v>
      </c>
      <c r="J3" s="770" t="s">
        <v>1</v>
      </c>
    </row>
    <row r="4" spans="1:10" s="161" customFormat="1" ht="15">
      <c r="A4" s="193" t="s">
        <v>63</v>
      </c>
      <c r="B4" s="171" t="s">
        <v>132</v>
      </c>
      <c r="C4" s="171"/>
      <c r="D4" s="758">
        <f>Balances!D4+Balances!D6+Balances!D8+Balances!D9</f>
        <v>0</v>
      </c>
      <c r="E4" s="759">
        <f>IF(Inversiones!$I$26&gt;0,Inversiones!$I$26,0)</f>
        <v>0</v>
      </c>
      <c r="F4" s="759">
        <f>IF(Inversiones!$L$26&gt;0,Inversiones!$L$26,0)</f>
        <v>0</v>
      </c>
      <c r="G4" s="759">
        <f>IF(Inversiones!$O$26&gt;0,Inversiones!$O$26,0)</f>
        <v>0</v>
      </c>
      <c r="H4" s="759">
        <f>IF(Inversiones!$R$26&gt;0,Inversiones!$R$26,0)</f>
        <v>0</v>
      </c>
      <c r="I4" s="759">
        <f>IF(Inversiones!$U$26&gt;0,Inversiones!$U$26,0)</f>
        <v>0</v>
      </c>
      <c r="J4" s="755">
        <f>SUM(D4:I4)</f>
        <v>0</v>
      </c>
    </row>
    <row r="5" spans="1:10" s="161" customFormat="1" ht="15">
      <c r="A5" s="193" t="s">
        <v>63</v>
      </c>
      <c r="B5" s="171" t="s">
        <v>463</v>
      </c>
      <c r="C5" s="171"/>
      <c r="D5" s="758">
        <f>IF(Circulantes!$D$43&gt;0,Circulantes!$D$43,0)</f>
        <v>0</v>
      </c>
      <c r="E5" s="759">
        <f>IF(Circulantes!$H$43-$D$5+$D$22&gt;0,Circulantes!$H$43+$D$22-$D$5,0)</f>
        <v>0</v>
      </c>
      <c r="F5" s="759">
        <f>IF(Circulantes!$K$43-Circulantes!$H$43&gt;0,Circulantes!$K$43-Circulantes!$H$43,0)</f>
        <v>0</v>
      </c>
      <c r="G5" s="759">
        <f>IF(Circulantes!$N$43-Circulantes!$K$43&gt;0,Circulantes!$N$43-Circulantes!$K$43,0)</f>
        <v>0</v>
      </c>
      <c r="H5" s="759">
        <f>IF(Circulantes!$Q$43-Circulantes!$N$43&gt;0,Circulantes!$Q$43-Circulantes!$N$43,0)</f>
        <v>0</v>
      </c>
      <c r="I5" s="759">
        <f>IF(Circulantes!$T$43-Circulantes!$Q$43&gt;0,Circulantes!$T$43-Circulantes!$Q$43,0)</f>
        <v>0</v>
      </c>
      <c r="J5" s="755">
        <f>SUM(D5:I5)</f>
        <v>0</v>
      </c>
    </row>
    <row r="6" spans="1:10" s="161" customFormat="1" ht="15">
      <c r="A6" s="193" t="s">
        <v>63</v>
      </c>
      <c r="B6" s="171" t="s">
        <v>265</v>
      </c>
      <c r="C6" s="171"/>
      <c r="D6" s="758">
        <f>IF(Balances!$D$21&lt;0,-Balances!$D$21,0)</f>
        <v>0</v>
      </c>
      <c r="E6" s="759">
        <f>IF(Resultados!$D$26&gt;0,Resultados!$C$10,-Resultados!$D$26+Resultados!$C$10)</f>
        <v>0</v>
      </c>
      <c r="F6" s="759">
        <f>IF(Resultados!$G$26&gt;0,Resultados!F10,-Resultados!$G$26+Resultados!F10)</f>
        <v>0</v>
      </c>
      <c r="G6" s="759">
        <f>IF(Resultados!$J$26&gt;0,Resultados!I10,-Resultados!$J$26+Resultados!I10)</f>
        <v>0</v>
      </c>
      <c r="H6" s="759">
        <f>IF(Resultados!$M$26&gt;0,Resultados!L10,-Resultados!$M$26+Resultados!L10)</f>
        <v>0</v>
      </c>
      <c r="I6" s="759">
        <f>IF(Resultados!$P$26&gt;0,Resultados!O10,-Resultados!$P$26+Resultados!O10)</f>
        <v>0</v>
      </c>
      <c r="J6" s="755">
        <f>SUM(D6:I6)</f>
        <v>0</v>
      </c>
    </row>
    <row r="7" spans="1:10" s="161" customFormat="1" ht="15">
      <c r="A7" s="193" t="s">
        <v>63</v>
      </c>
      <c r="B7" s="171" t="s">
        <v>133</v>
      </c>
      <c r="C7" s="171"/>
      <c r="D7" s="758"/>
      <c r="E7" s="759">
        <f>'Financiación a lp'!C163+Balances!D26-Balances!F26+Balances!D28-Balances!F28</f>
        <v>0</v>
      </c>
      <c r="F7" s="759">
        <f>'Financiación a lp'!C168+Balances!F26-Balances!H26+Balances!F28-Balances!H28</f>
        <v>0</v>
      </c>
      <c r="G7" s="759">
        <f>'Financiación a lp'!C173+Balances!H26-Balances!J26+Balances!H28-Balances!J28</f>
        <v>0</v>
      </c>
      <c r="H7" s="759">
        <f>'Financiación a lp'!C178+Balances!J26-Balances!L26+Balances!J28-Balances!L28</f>
        <v>0</v>
      </c>
      <c r="I7" s="759">
        <f>'Financiación a lp'!C183+Balances!L26-Balances!N26+Balances!L28-Balances!N28</f>
        <v>0</v>
      </c>
      <c r="J7" s="755">
        <f>SUM(D7:I7)</f>
        <v>0</v>
      </c>
    </row>
    <row r="8" spans="1:10" s="239" customFormat="1" ht="33.75" customHeight="1">
      <c r="A8" s="300"/>
      <c r="B8" s="301"/>
      <c r="C8" s="302" t="s">
        <v>263</v>
      </c>
      <c r="D8" s="756">
        <f t="shared" ref="D8:I8" si="0">SUM(D4:D7)</f>
        <v>0</v>
      </c>
      <c r="E8" s="760">
        <f t="shared" si="0"/>
        <v>0</v>
      </c>
      <c r="F8" s="760">
        <f t="shared" si="0"/>
        <v>0</v>
      </c>
      <c r="G8" s="760">
        <f t="shared" si="0"/>
        <v>0</v>
      </c>
      <c r="H8" s="760">
        <f t="shared" si="0"/>
        <v>0</v>
      </c>
      <c r="I8" s="760">
        <f t="shared" si="0"/>
        <v>0</v>
      </c>
      <c r="J8" s="756">
        <f>SUM(D8:I8)</f>
        <v>0</v>
      </c>
    </row>
    <row r="9" spans="1:10" s="161" customFormat="1" ht="15">
      <c r="A9" s="193" t="s">
        <v>63</v>
      </c>
      <c r="B9" s="171" t="s">
        <v>134</v>
      </c>
      <c r="C9" s="171"/>
      <c r="D9" s="758"/>
      <c r="E9" s="759"/>
      <c r="F9" s="759"/>
      <c r="G9" s="759"/>
      <c r="H9" s="759"/>
      <c r="I9" s="759"/>
      <c r="J9" s="755"/>
    </row>
    <row r="10" spans="1:10" s="161" customFormat="1" ht="15">
      <c r="A10" s="193"/>
      <c r="B10" s="171" t="s">
        <v>2</v>
      </c>
      <c r="C10" s="171" t="s">
        <v>64</v>
      </c>
      <c r="D10" s="758">
        <f>-Balances!D5-Balances!D7</f>
        <v>0</v>
      </c>
      <c r="E10" s="759">
        <f>'G. Fijos'!B18</f>
        <v>0</v>
      </c>
      <c r="F10" s="759">
        <f>'G. Fijos'!D18</f>
        <v>0</v>
      </c>
      <c r="G10" s="759">
        <f>'G. Fijos'!F18</f>
        <v>0</v>
      </c>
      <c r="H10" s="759">
        <f>'G. Fijos'!H18</f>
        <v>0</v>
      </c>
      <c r="I10" s="759">
        <f>'G. Fijos'!J18</f>
        <v>0</v>
      </c>
      <c r="J10" s="755">
        <f>SUM(D10:I10)</f>
        <v>0</v>
      </c>
    </row>
    <row r="11" spans="1:10" s="161" customFormat="1" ht="15">
      <c r="A11" s="193"/>
      <c r="B11" s="171" t="s">
        <v>2</v>
      </c>
      <c r="C11" s="171" t="s">
        <v>414</v>
      </c>
      <c r="D11" s="758">
        <f>IF(Balances!$D$21&gt;0,Balances!$D$21,0)</f>
        <v>0</v>
      </c>
      <c r="E11" s="759">
        <f>IF(Resultados!$D$26&lt;0,0,Resultados!$D$26)</f>
        <v>0</v>
      </c>
      <c r="F11" s="759">
        <f>IF(Resultados!$G$26&lt;0,0,Resultados!$G$26)</f>
        <v>0</v>
      </c>
      <c r="G11" s="759">
        <f>IF(Resultados!$J$26&lt;0,0,Resultados!$J$26)</f>
        <v>0</v>
      </c>
      <c r="H11" s="759">
        <f>IF(Resultados!$M$26&lt;0,0,Resultados!$M$26)</f>
        <v>0</v>
      </c>
      <c r="I11" s="759">
        <f>IF(Resultados!$P$26&lt;0,0,Resultados!$P$26)</f>
        <v>0</v>
      </c>
      <c r="J11" s="755">
        <f t="shared" ref="J11:J22" si="1">SUM(D11:I11)</f>
        <v>0</v>
      </c>
    </row>
    <row r="12" spans="1:10" s="161" customFormat="1" ht="15">
      <c r="A12" s="193" t="s">
        <v>63</v>
      </c>
      <c r="B12" s="171" t="s">
        <v>135</v>
      </c>
      <c r="C12" s="171"/>
      <c r="D12" s="758"/>
      <c r="E12" s="759"/>
      <c r="F12" s="759"/>
      <c r="G12" s="759"/>
      <c r="H12" s="759"/>
      <c r="I12" s="759"/>
      <c r="J12" s="755">
        <f t="shared" si="1"/>
        <v>0</v>
      </c>
    </row>
    <row r="13" spans="1:10" s="161" customFormat="1" ht="15">
      <c r="A13" s="193"/>
      <c r="B13" s="171" t="s">
        <v>2</v>
      </c>
      <c r="C13" s="171" t="s">
        <v>65</v>
      </c>
      <c r="D13" s="758">
        <f>Balances!D17</f>
        <v>0</v>
      </c>
      <c r="E13" s="759">
        <f>Balances!F17-Balances!D17</f>
        <v>0</v>
      </c>
      <c r="F13" s="759">
        <f>Balances!H17-Balances!F17</f>
        <v>0</v>
      </c>
      <c r="G13" s="759">
        <f>Balances!J17-Balances!H17</f>
        <v>0</v>
      </c>
      <c r="H13" s="759">
        <f>Balances!L17-Balances!J17</f>
        <v>0</v>
      </c>
      <c r="I13" s="759">
        <f>Balances!N17-Balances!L17</f>
        <v>0</v>
      </c>
      <c r="J13" s="755">
        <f t="shared" si="1"/>
        <v>0</v>
      </c>
    </row>
    <row r="14" spans="1:10" s="161" customFormat="1" ht="15">
      <c r="A14" s="193"/>
      <c r="B14" s="171" t="s">
        <v>2</v>
      </c>
      <c r="C14" s="171" t="s">
        <v>264</v>
      </c>
      <c r="D14" s="758">
        <f>Balances!D18</f>
        <v>0</v>
      </c>
      <c r="E14" s="759">
        <f>Balances!F18-Balances!D18</f>
        <v>0</v>
      </c>
      <c r="F14" s="759">
        <f>Balances!H18-Balances!F18</f>
        <v>0</v>
      </c>
      <c r="G14" s="759">
        <f>Balances!J18-Balances!H18</f>
        <v>0</v>
      </c>
      <c r="H14" s="759">
        <f>Balances!L18-Balances!J18</f>
        <v>0</v>
      </c>
      <c r="I14" s="759">
        <f>Balances!N18-Balances!L18</f>
        <v>0</v>
      </c>
      <c r="J14" s="755">
        <f t="shared" si="1"/>
        <v>0</v>
      </c>
    </row>
    <row r="15" spans="1:10" s="161" customFormat="1" ht="15">
      <c r="A15" s="193"/>
      <c r="B15" s="171" t="s">
        <v>2</v>
      </c>
      <c r="C15" s="171" t="s">
        <v>276</v>
      </c>
      <c r="D15" s="758">
        <f>Balances!D19+Balances!D20</f>
        <v>0</v>
      </c>
      <c r="E15" s="759"/>
      <c r="F15" s="759"/>
      <c r="G15" s="759"/>
      <c r="H15" s="759"/>
      <c r="I15" s="759"/>
      <c r="J15" s="755">
        <f t="shared" si="1"/>
        <v>0</v>
      </c>
    </row>
    <row r="16" spans="1:10" s="161" customFormat="1" ht="15">
      <c r="A16" s="193"/>
      <c r="B16" s="171" t="s">
        <v>2</v>
      </c>
      <c r="C16" s="171" t="s">
        <v>451</v>
      </c>
      <c r="D16" s="758">
        <f>Balances!D22</f>
        <v>0</v>
      </c>
      <c r="E16" s="759">
        <f>Balances!F22-Balances!D22</f>
        <v>0</v>
      </c>
      <c r="F16" s="759">
        <f>Balances!H22-Balances!F22</f>
        <v>0</v>
      </c>
      <c r="G16" s="759">
        <f>Balances!J22-Balances!H22</f>
        <v>0</v>
      </c>
      <c r="H16" s="759">
        <f>Balances!L22-Balances!J22</f>
        <v>0</v>
      </c>
      <c r="I16" s="759">
        <f>Balances!N22-Balances!L22</f>
        <v>0</v>
      </c>
      <c r="J16" s="755">
        <f t="shared" si="1"/>
        <v>0</v>
      </c>
    </row>
    <row r="17" spans="1:10" s="161" customFormat="1" ht="15">
      <c r="A17" s="193"/>
      <c r="B17" s="171" t="s">
        <v>2</v>
      </c>
      <c r="C17" s="171" t="s">
        <v>170</v>
      </c>
      <c r="D17" s="758">
        <f>Balances!D23</f>
        <v>0</v>
      </c>
      <c r="E17" s="759">
        <f>'Financiación a lp'!D13</f>
        <v>0</v>
      </c>
      <c r="F17" s="759">
        <f>'Financiación a lp'!E13</f>
        <v>0</v>
      </c>
      <c r="G17" s="759">
        <f>'Financiación a lp'!F13</f>
        <v>0</v>
      </c>
      <c r="H17" s="759">
        <f>'Financiación a lp'!G13</f>
        <v>0</v>
      </c>
      <c r="I17" s="759">
        <f>'Financiación a lp'!H13</f>
        <v>0</v>
      </c>
      <c r="J17" s="755">
        <f t="shared" si="1"/>
        <v>0</v>
      </c>
    </row>
    <row r="18" spans="1:10" s="161" customFormat="1" ht="15">
      <c r="A18" s="193"/>
      <c r="B18" s="171" t="s">
        <v>2</v>
      </c>
      <c r="C18" s="171" t="s">
        <v>271</v>
      </c>
      <c r="D18" s="758">
        <f>Balances!D25</f>
        <v>0</v>
      </c>
      <c r="E18" s="761"/>
      <c r="F18" s="759">
        <f>'Financiación a lp'!E16+'Financiación a lp'!E23</f>
        <v>0</v>
      </c>
      <c r="G18" s="759">
        <f>'Financiación a lp'!F16+'Financiación a lp'!F23</f>
        <v>0</v>
      </c>
      <c r="H18" s="759">
        <f>'Financiación a lp'!G16+'Financiación a lp'!G23</f>
        <v>0</v>
      </c>
      <c r="I18" s="759">
        <f>'Financiación a lp'!H16+'Financiación a lp'!H23</f>
        <v>0</v>
      </c>
      <c r="J18" s="755">
        <f t="shared" si="1"/>
        <v>0</v>
      </c>
    </row>
    <row r="19" spans="1:10" s="161" customFormat="1" ht="15">
      <c r="A19" s="193"/>
      <c r="B19" s="171" t="s">
        <v>2</v>
      </c>
      <c r="C19" s="171" t="s">
        <v>272</v>
      </c>
      <c r="D19" s="758">
        <f>Balances!D26</f>
        <v>0</v>
      </c>
      <c r="E19" s="759"/>
      <c r="F19" s="759"/>
      <c r="G19" s="759"/>
      <c r="H19" s="759"/>
      <c r="I19" s="759"/>
      <c r="J19" s="755">
        <f t="shared" si="1"/>
        <v>0</v>
      </c>
    </row>
    <row r="20" spans="1:10" s="161" customFormat="1" ht="15">
      <c r="A20" s="193"/>
      <c r="B20" s="171" t="s">
        <v>2</v>
      </c>
      <c r="C20" s="171" t="s">
        <v>273</v>
      </c>
      <c r="D20" s="758">
        <f>Balances!D28</f>
        <v>0</v>
      </c>
      <c r="E20" s="759"/>
      <c r="F20" s="759"/>
      <c r="G20" s="759"/>
      <c r="H20" s="759"/>
      <c r="I20" s="759"/>
      <c r="J20" s="755">
        <f t="shared" si="1"/>
        <v>0</v>
      </c>
    </row>
    <row r="21" spans="1:10" s="161" customFormat="1" ht="15">
      <c r="A21" s="193" t="s">
        <v>63</v>
      </c>
      <c r="B21" s="171" t="s">
        <v>136</v>
      </c>
      <c r="C21" s="171"/>
      <c r="D21" s="758"/>
      <c r="E21" s="759">
        <f>IF(Inversiones!$I$26&lt;0,-Inversiones!$I$26,0)</f>
        <v>0</v>
      </c>
      <c r="F21" s="759">
        <f>IF(Inversiones!$L$26&lt;0,-Inversiones!$L$26,0)</f>
        <v>0</v>
      </c>
      <c r="G21" s="759">
        <f>IF(Inversiones!$O$26&lt;0,-Inversiones!$O$26,0)</f>
        <v>0</v>
      </c>
      <c r="H21" s="759">
        <f>IF(Inversiones!$R$26&lt;0,-Inversiones!$R$26,0)</f>
        <v>0</v>
      </c>
      <c r="I21" s="759">
        <f>IF(Inversiones!$U$26&lt;0,-Inversiones!$U$26,0)</f>
        <v>0</v>
      </c>
      <c r="J21" s="755">
        <f t="shared" si="1"/>
        <v>0</v>
      </c>
    </row>
    <row r="22" spans="1:10" s="161" customFormat="1" ht="15">
      <c r="A22" s="193" t="s">
        <v>63</v>
      </c>
      <c r="B22" s="171" t="s">
        <v>464</v>
      </c>
      <c r="C22" s="171"/>
      <c r="D22" s="758">
        <f>IF(Circulantes!$D$43&lt;0,-Circulantes!$D$43,0)</f>
        <v>0</v>
      </c>
      <c r="E22" s="759">
        <f>IF(Circulantes!$H$43-$D$5+$D$22&lt;0,-(Circulantes!$H$43+$D$22-$D$5),0)</f>
        <v>0</v>
      </c>
      <c r="F22" s="759">
        <f>IF(Circulantes!$K$43-Circulantes!$H$43&lt;=0,-Circulantes!$K$43+Circulantes!$H$43,0)</f>
        <v>0</v>
      </c>
      <c r="G22" s="759">
        <f>IF(Circulantes!$N$43-Circulantes!$K$43&lt;=0,-Circulantes!$N$43+Circulantes!$K$43,0)</f>
        <v>0</v>
      </c>
      <c r="H22" s="759">
        <f>IF(Circulantes!$Q$43-Circulantes!$N$43&lt;=0,-Circulantes!$Q$43+Circulantes!$N$43,0)</f>
        <v>0</v>
      </c>
      <c r="I22" s="759">
        <f>IF(Circulantes!$T$43-Circulantes!$Q$43&lt;=0,-Circulantes!$T$43+Circulantes!$Q$43,0)</f>
        <v>0</v>
      </c>
      <c r="J22" s="755">
        <f t="shared" si="1"/>
        <v>0</v>
      </c>
    </row>
    <row r="23" spans="1:10" s="239" customFormat="1" ht="33.75" customHeight="1" thickBot="1">
      <c r="A23" s="300"/>
      <c r="B23" s="301"/>
      <c r="C23" s="302" t="s">
        <v>269</v>
      </c>
      <c r="D23" s="756">
        <f t="shared" ref="D23:I23" si="2">SUM(D9:D22)</f>
        <v>0</v>
      </c>
      <c r="E23" s="760">
        <f t="shared" si="2"/>
        <v>0</v>
      </c>
      <c r="F23" s="760">
        <f t="shared" si="2"/>
        <v>0</v>
      </c>
      <c r="G23" s="760">
        <f t="shared" si="2"/>
        <v>0</v>
      </c>
      <c r="H23" s="760">
        <f t="shared" si="2"/>
        <v>0</v>
      </c>
      <c r="I23" s="760">
        <f t="shared" si="2"/>
        <v>0</v>
      </c>
      <c r="J23" s="757">
        <f>SUM(D23:I23)</f>
        <v>0</v>
      </c>
    </row>
    <row r="24" spans="1:10" s="239" customFormat="1" ht="33.75" customHeight="1" thickBot="1">
      <c r="A24" s="236"/>
      <c r="B24" s="237"/>
      <c r="C24" s="237" t="s">
        <v>66</v>
      </c>
      <c r="D24" s="762">
        <f t="shared" ref="D24:J24" si="3">+D23-D8</f>
        <v>0</v>
      </c>
      <c r="E24" s="763">
        <f t="shared" si="3"/>
        <v>0</v>
      </c>
      <c r="F24" s="763">
        <f t="shared" si="3"/>
        <v>0</v>
      </c>
      <c r="G24" s="763">
        <f t="shared" si="3"/>
        <v>0</v>
      </c>
      <c r="H24" s="763">
        <f t="shared" si="3"/>
        <v>0</v>
      </c>
      <c r="I24" s="763">
        <f t="shared" si="3"/>
        <v>0</v>
      </c>
      <c r="J24" s="764">
        <f t="shared" si="3"/>
        <v>0</v>
      </c>
    </row>
    <row r="25" spans="1:10" s="239" customFormat="1" ht="33.75" customHeight="1" thickBot="1">
      <c r="A25" s="240"/>
      <c r="B25" s="188"/>
      <c r="C25" s="188" t="s">
        <v>67</v>
      </c>
      <c r="D25" s="765"/>
      <c r="E25" s="766">
        <f>D26+E24</f>
        <v>0</v>
      </c>
      <c r="F25" s="766">
        <f>+E25+F24</f>
        <v>0</v>
      </c>
      <c r="G25" s="766">
        <f>+F25+G24</f>
        <v>0</v>
      </c>
      <c r="H25" s="766">
        <f>+G25+H24</f>
        <v>0</v>
      </c>
      <c r="I25" s="764">
        <f>+H25+I24</f>
        <v>0</v>
      </c>
      <c r="J25" s="767"/>
    </row>
    <row r="26" spans="1:10" s="7" customFormat="1" ht="33.75" customHeight="1" thickBot="1">
      <c r="A26" s="264"/>
      <c r="B26" s="265"/>
      <c r="C26" s="265" t="s">
        <v>68</v>
      </c>
      <c r="D26" s="768">
        <f>D24</f>
        <v>0</v>
      </c>
      <c r="E26" s="769">
        <f>E25+Circulantes!H27</f>
        <v>0</v>
      </c>
      <c r="F26" s="769">
        <f>F25+Circulantes!K27</f>
        <v>0</v>
      </c>
      <c r="G26" s="769">
        <f>G25+Circulantes!N27</f>
        <v>0</v>
      </c>
      <c r="H26" s="769">
        <f>H25+Circulantes!Q27</f>
        <v>0</v>
      </c>
      <c r="I26" s="769">
        <f>I25+Circulantes!T27</f>
        <v>0</v>
      </c>
      <c r="J26" s="768"/>
    </row>
    <row r="27" spans="1:10">
      <c r="A27" s="62"/>
      <c r="B27" s="62"/>
      <c r="J27" s="62"/>
    </row>
  </sheetData>
  <sheetProtection password="A6E9" sheet="1" formatColumns="0"/>
  <mergeCells count="1">
    <mergeCell ref="A2:J2"/>
  </mergeCells>
  <phoneticPr fontId="0" type="noConversion"/>
  <printOptions horizontalCentered="1" gridLinesSet="0"/>
  <pageMargins left="0.31496062992125984" right="0.39370078740157483" top="0.78" bottom="0.8" header="0.35433070866141736" footer="0.35433070866141736"/>
  <pageSetup paperSize="9" scale="94" orientation="landscape" horizontalDpi="240" verticalDpi="4294967292" r:id="rId1"/>
  <headerFooter alignWithMargins="0">
    <oddHeader>&amp;C&amp;"Trebuchet MS,Normal"&amp;14&amp;U&amp;A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Button 1">
              <controlPr defaultSize="0" print="0" autoFill="0" autoPict="0" macro="[0]!Inicio">
                <anchor moveWithCells="1" sizeWithCells="1">
                  <from>
                    <xdr:col>0</xdr:col>
                    <xdr:colOff>152400</xdr:colOff>
                    <xdr:row>0</xdr:row>
                    <xdr:rowOff>28575</xdr:rowOff>
                  </from>
                  <to>
                    <xdr:col>2</xdr:col>
                    <xdr:colOff>942975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/>
  </sheetPr>
  <dimension ref="A1:O221"/>
  <sheetViews>
    <sheetView showGridLines="0" showZeros="0" topLeftCell="A3" zoomScale="104" zoomScaleNormal="104" workbookViewId="0">
      <pane ySplit="2" topLeftCell="A5" activePane="bottomLeft" state="frozen"/>
      <selection activeCell="A3" sqref="A3"/>
      <selection pane="bottomLeft" activeCell="G28" sqref="G28"/>
    </sheetView>
  </sheetViews>
  <sheetFormatPr baseColWidth="10" defaultColWidth="11.25" defaultRowHeight="15"/>
  <cols>
    <col min="1" max="1" width="33.75" style="364" customWidth="1"/>
    <col min="2" max="3" width="8.25" style="364" bestFit="1" customWidth="1"/>
    <col min="4" max="5" width="9.75" style="364" bestFit="1" customWidth="1"/>
    <col min="6" max="7" width="9.5" style="364" bestFit="1" customWidth="1"/>
    <col min="8" max="8" width="7.75" style="364" bestFit="1" customWidth="1"/>
    <col min="9" max="9" width="3.25" style="364" bestFit="1" customWidth="1"/>
    <col min="10" max="10" width="8.375" style="364" customWidth="1"/>
    <col min="11" max="11" width="3.25" style="364" bestFit="1" customWidth="1"/>
    <col min="12" max="12" width="9.75" style="364" bestFit="1" customWidth="1"/>
    <col min="13" max="13" width="9.625" style="364" customWidth="1"/>
    <col min="14" max="14" width="9.375" style="364" customWidth="1"/>
    <col min="15" max="15" width="10.75" style="364" customWidth="1"/>
    <col min="16" max="16384" width="11.25" style="364"/>
  </cols>
  <sheetData>
    <row r="1" spans="1:15" s="363" customFormat="1" ht="24" customHeight="1">
      <c r="A1" s="360" t="s">
        <v>128</v>
      </c>
      <c r="B1" s="360"/>
      <c r="C1" s="360"/>
      <c r="D1" s="360"/>
      <c r="E1" s="360"/>
      <c r="F1" s="361"/>
      <c r="G1" s="361"/>
      <c r="H1" s="361"/>
      <c r="I1" s="361"/>
      <c r="J1" s="361"/>
      <c r="K1" s="361"/>
      <c r="L1" s="361"/>
      <c r="M1" s="361"/>
      <c r="N1" s="361"/>
      <c r="O1" s="362"/>
    </row>
    <row r="2" spans="1:15" ht="7.5" customHeight="1">
      <c r="O2" s="365"/>
    </row>
    <row r="3" spans="1:15" s="369" customFormat="1">
      <c r="A3" s="1081" t="s">
        <v>102</v>
      </c>
      <c r="B3" s="1083" t="s">
        <v>74</v>
      </c>
      <c r="C3" s="1083" t="s">
        <v>103</v>
      </c>
      <c r="D3" s="366" t="s">
        <v>104</v>
      </c>
      <c r="E3" s="367"/>
      <c r="F3" s="368" t="s">
        <v>105</v>
      </c>
      <c r="G3" s="368"/>
      <c r="H3" s="366" t="s">
        <v>106</v>
      </c>
      <c r="I3" s="368"/>
      <c r="J3" s="367"/>
      <c r="K3" s="368"/>
      <c r="L3" s="366" t="s">
        <v>107</v>
      </c>
      <c r="M3" s="367"/>
      <c r="N3" s="366" t="s">
        <v>108</v>
      </c>
      <c r="O3" s="367"/>
    </row>
    <row r="4" spans="1:15" s="369" customFormat="1">
      <c r="A4" s="1082"/>
      <c r="B4" s="1084"/>
      <c r="C4" s="1084"/>
      <c r="D4" s="370" t="s">
        <v>168</v>
      </c>
      <c r="E4" s="370" t="s">
        <v>169</v>
      </c>
      <c r="F4" s="370" t="s">
        <v>109</v>
      </c>
      <c r="G4" s="370" t="s">
        <v>110</v>
      </c>
      <c r="H4" s="366" t="s">
        <v>109</v>
      </c>
      <c r="I4" s="367"/>
      <c r="J4" s="366" t="s">
        <v>110</v>
      </c>
      <c r="K4" s="367"/>
      <c r="L4" s="370" t="s">
        <v>111</v>
      </c>
      <c r="M4" s="370" t="s">
        <v>112</v>
      </c>
      <c r="N4" s="370" t="s">
        <v>113</v>
      </c>
      <c r="O4" s="370" t="s">
        <v>112</v>
      </c>
    </row>
    <row r="5" spans="1:15">
      <c r="A5" s="371" t="s">
        <v>69</v>
      </c>
      <c r="B5" s="372"/>
      <c r="C5" s="373"/>
      <c r="D5" s="373"/>
      <c r="E5" s="373"/>
      <c r="F5" s="373"/>
      <c r="G5" s="373"/>
      <c r="H5" s="374"/>
      <c r="I5" s="373"/>
      <c r="J5" s="374"/>
      <c r="K5" s="373"/>
      <c r="L5" s="373"/>
      <c r="M5" s="373"/>
      <c r="N5" s="373"/>
      <c r="O5" s="373"/>
    </row>
    <row r="6" spans="1:15">
      <c r="A6" s="375" t="s">
        <v>166</v>
      </c>
      <c r="B6" s="376">
        <f>Balances!F4+Balances!F6</f>
        <v>0</v>
      </c>
      <c r="C6" s="376">
        <f>Balances!D4+Balances!D6</f>
        <v>0</v>
      </c>
      <c r="D6" s="373">
        <f t="shared" ref="D6:D14" si="0">IF((B6-C6)&gt;0,B6-C6,0)</f>
        <v>0</v>
      </c>
      <c r="E6" s="373">
        <f t="shared" ref="E6:E14" si="1">IF((B6-C6)&lt;0,C6-B6,0)</f>
        <v>0</v>
      </c>
      <c r="F6" s="373"/>
      <c r="G6" s="373">
        <f>F34</f>
        <v>0</v>
      </c>
      <c r="H6" s="374"/>
      <c r="I6" s="373"/>
      <c r="J6" s="374"/>
      <c r="K6" s="373"/>
      <c r="M6" s="375"/>
      <c r="N6" s="373">
        <f>IF((D6-E6+F6-G6+H6-J6)&gt;0,D6-E6+F6-G6+H6-J6,0)</f>
        <v>0</v>
      </c>
      <c r="O6" s="373">
        <f>IF((D6-E6+F6-G6+H6-J6)&lt;0,-(D6-E6+F6-G6+H6-J6),0)</f>
        <v>0</v>
      </c>
    </row>
    <row r="7" spans="1:15">
      <c r="A7" s="375" t="s">
        <v>114</v>
      </c>
      <c r="B7" s="376">
        <f>Balances!F5+Balances!F7</f>
        <v>0</v>
      </c>
      <c r="C7" s="376">
        <f>Balances!D7+Balances!D5</f>
        <v>0</v>
      </c>
      <c r="D7" s="373">
        <f t="shared" si="0"/>
        <v>0</v>
      </c>
      <c r="E7" s="373">
        <f t="shared" si="1"/>
        <v>0</v>
      </c>
      <c r="F7" s="373">
        <f>G39</f>
        <v>0</v>
      </c>
      <c r="G7" s="373"/>
      <c r="H7" s="374"/>
      <c r="I7" s="373"/>
      <c r="J7" s="374"/>
      <c r="K7" s="373"/>
      <c r="M7" s="375"/>
      <c r="N7" s="373">
        <f>IF((D7-E7+F7-G7+H7-J7)&gt;0,D7-E7+F7-G7+H7-J7,0)</f>
        <v>0</v>
      </c>
      <c r="O7" s="373">
        <f>IF((D7-E7+F7-G7+H7-J7)&lt;0,-(D7-E7+F7-G7+H7-J7),0)</f>
        <v>0</v>
      </c>
    </row>
    <row r="8" spans="1:15">
      <c r="A8" s="375" t="s">
        <v>167</v>
      </c>
      <c r="B8" s="376">
        <f>Balances!F8</f>
        <v>0</v>
      </c>
      <c r="C8" s="376">
        <f>Balances!D8</f>
        <v>0</v>
      </c>
      <c r="D8" s="373">
        <f>IF((B8-C8)&gt;0,B8-C8,0)</f>
        <v>0</v>
      </c>
      <c r="E8" s="373">
        <f>IF((B8-C8)&lt;0,C8-B8,0)</f>
        <v>0</v>
      </c>
      <c r="F8" s="373"/>
      <c r="G8" s="373"/>
      <c r="H8" s="374"/>
      <c r="I8" s="373"/>
      <c r="J8" s="374"/>
      <c r="K8" s="373"/>
      <c r="M8" s="375"/>
      <c r="N8" s="373">
        <f>IF((D8-E8+F8-G8+H8-J8)&gt;0,D8-E8+F8-G8+H8-J8,0)</f>
        <v>0</v>
      </c>
      <c r="O8" s="373">
        <f>IF((D8-E8+F8-G8+H8-J8)&lt;0,-(D8-E8+F8-G8+H8-J8),0)</f>
        <v>0</v>
      </c>
    </row>
    <row r="9" spans="1:15">
      <c r="A9" s="229" t="s">
        <v>409</v>
      </c>
      <c r="B9" s="376">
        <f>Balances!F9</f>
        <v>0</v>
      </c>
      <c r="C9" s="376">
        <f>Balances!D9</f>
        <v>0</v>
      </c>
      <c r="D9" s="373"/>
      <c r="E9" s="373"/>
      <c r="F9" s="373"/>
      <c r="G9" s="373"/>
      <c r="H9" s="374"/>
      <c r="I9" s="373"/>
      <c r="J9" s="374"/>
      <c r="K9" s="373"/>
      <c r="L9" s="375"/>
      <c r="M9" s="654"/>
      <c r="N9" s="373"/>
      <c r="O9" s="373"/>
    </row>
    <row r="10" spans="1:15">
      <c r="A10" s="375" t="s">
        <v>319</v>
      </c>
      <c r="B10" s="376">
        <f>Balances!F11</f>
        <v>0</v>
      </c>
      <c r="C10" s="376">
        <f>Balances!D11</f>
        <v>0</v>
      </c>
      <c r="D10" s="373">
        <f>IF((B10-C10)&gt;0,B10-C10,0)</f>
        <v>0</v>
      </c>
      <c r="E10" s="373">
        <f>IF((B10-C10)&lt;0,C10-B10,0)</f>
        <v>0</v>
      </c>
      <c r="F10" s="373">
        <f>E10</f>
        <v>0</v>
      </c>
      <c r="G10" s="373">
        <f>D10</f>
        <v>0</v>
      </c>
      <c r="H10" s="374"/>
      <c r="I10" s="373"/>
      <c r="J10" s="374"/>
      <c r="K10" s="373"/>
      <c r="L10" s="373">
        <f>IF((D10-E10+F10-G10+H10-J10)&gt;0,D10-E10+F10-G10+H10-J10,0)</f>
        <v>0</v>
      </c>
      <c r="M10" s="373">
        <f>IF((D10-E10+F10-G10+H10-J10)&lt;0,-(D10-E10+F10-G10+H10-J10),0)</f>
        <v>0</v>
      </c>
      <c r="N10" s="373"/>
      <c r="O10" s="373"/>
    </row>
    <row r="11" spans="1:15">
      <c r="A11" s="375" t="s">
        <v>52</v>
      </c>
      <c r="B11" s="376">
        <f>Balances!F12</f>
        <v>0</v>
      </c>
      <c r="C11" s="376">
        <f>Balances!D12</f>
        <v>0</v>
      </c>
      <c r="D11" s="373">
        <f t="shared" si="0"/>
        <v>0</v>
      </c>
      <c r="E11" s="373">
        <f t="shared" si="1"/>
        <v>0</v>
      </c>
      <c r="F11" s="373"/>
      <c r="G11" s="373"/>
      <c r="H11" s="374"/>
      <c r="I11" s="373"/>
      <c r="J11" s="374">
        <f>H31</f>
        <v>0</v>
      </c>
      <c r="K11" s="377">
        <v>-1</v>
      </c>
      <c r="L11" s="373">
        <f>IF((D11-E11+F11-G11+H11-J11)&gt;0,D11-E11+F11-G11+H11-J11,0)</f>
        <v>0</v>
      </c>
      <c r="M11" s="373">
        <f>IF((D11-E11+F11-G11+H11-J11)&lt;0,-(D11-E11+F11-G11+H11-J11),0)</f>
        <v>0</v>
      </c>
      <c r="N11" s="373"/>
      <c r="O11" s="373"/>
    </row>
    <row r="12" spans="1:15">
      <c r="A12" s="171" t="s">
        <v>240</v>
      </c>
      <c r="B12" s="376">
        <f>Circulantes!H25</f>
        <v>0</v>
      </c>
      <c r="C12" s="376">
        <f>Inversiones!G27</f>
        <v>0</v>
      </c>
      <c r="D12" s="373">
        <f>IF((B12-C12)&gt;0,B12-C12,0)</f>
        <v>0</v>
      </c>
      <c r="E12" s="373">
        <f>IF((B12-C12)&lt;0,C12-B12,0)</f>
        <v>0</v>
      </c>
      <c r="F12" s="373">
        <f>E12</f>
        <v>0</v>
      </c>
      <c r="G12" s="373">
        <f>D12</f>
        <v>0</v>
      </c>
      <c r="H12" s="374"/>
      <c r="I12" s="373"/>
      <c r="J12" s="374"/>
      <c r="K12" s="377"/>
      <c r="L12" s="373">
        <f>IF((D12-E12+F12-G12+H12-J12)&gt;0,D12-E12+F12-G12+H12-J12,0)</f>
        <v>0</v>
      </c>
      <c r="M12" s="373">
        <f>IF((D12-E12+F12-G12+H12-J12)&lt;0,-(D12-E12+F12-G12+H12-J12),0)</f>
        <v>0</v>
      </c>
      <c r="N12" s="373"/>
      <c r="O12" s="373"/>
    </row>
    <row r="13" spans="1:15">
      <c r="A13" s="375" t="s">
        <v>173</v>
      </c>
      <c r="B13" s="376">
        <f>Circulantes!H26</f>
        <v>0</v>
      </c>
      <c r="C13" s="376"/>
      <c r="D13" s="373">
        <f>IF((B13-C13)&gt;0,B13-C13,0)</f>
        <v>0</v>
      </c>
      <c r="E13" s="373">
        <f>IF((B13-C13)&lt;0,C13-B13,0)</f>
        <v>0</v>
      </c>
      <c r="F13" s="373"/>
      <c r="G13" s="373"/>
      <c r="H13" s="374"/>
      <c r="I13" s="373"/>
      <c r="J13" s="374"/>
      <c r="K13" s="377"/>
      <c r="L13" s="373">
        <f>IF((D13-E13+F13-G13+H13-J13)&gt;0,D13-E13+F13-G13+H13-J13,0)</f>
        <v>0</v>
      </c>
      <c r="M13" s="373">
        <f>IF((D13-E13+F13-G13+H13-J13)&lt;0,-(D13-E13+F13-G13+H13-J13),0)</f>
        <v>0</v>
      </c>
      <c r="N13" s="373"/>
      <c r="O13" s="373"/>
    </row>
    <row r="14" spans="1:15">
      <c r="A14" s="378" t="s">
        <v>53</v>
      </c>
      <c r="B14" s="379">
        <f>Balances!F14</f>
        <v>0</v>
      </c>
      <c r="C14" s="379">
        <f>Balances!D14</f>
        <v>0</v>
      </c>
      <c r="D14" s="380">
        <f t="shared" si="0"/>
        <v>0</v>
      </c>
      <c r="E14" s="380">
        <f t="shared" si="1"/>
        <v>0</v>
      </c>
      <c r="F14" s="381"/>
      <c r="G14" s="381"/>
      <c r="H14" s="382"/>
      <c r="I14" s="381"/>
      <c r="J14" s="382"/>
      <c r="K14" s="381"/>
      <c r="L14" s="379">
        <f>IF((SUM(L6:L13)+SUM(L15:L44)-SUM(M15:M44)-SUM(M6:M13))&lt;0,-(SUM(L6:L13)+SUM(L15:L44)-SUM(M15:M44)-SUM(M6:M13)),0)</f>
        <v>0</v>
      </c>
      <c r="M14" s="379">
        <f>IF((SUM(L6:L13)+SUM(L15:L44)-SUM(M15:M44)-SUM(M6:M13))&gt;0,SUM(L6:L13)+SUM(L15:L44)-SUM(M15:M44)-SUM(M6:M13),0)</f>
        <v>0</v>
      </c>
      <c r="N14" s="379">
        <f>IF((SUM(N6:N13)+SUM(N15:N44)-SUM(O15:O44)-SUM(O6:O13))&lt;0,-(SUM(N6:N13)+SUM(N15:N44)-SUM(O15:O44)-SUM(O6:O13)),0)</f>
        <v>0</v>
      </c>
      <c r="O14" s="379">
        <f>IF((SUM(N6:N13)+SUM(N15:N44)-SUM(O15:O44)-SUM(O6:O13))&gt;0,SUM(N6:N13)+SUM(N15:N44)-SUM(O15:O44)-SUM(O6:O13),0)</f>
        <v>0</v>
      </c>
    </row>
    <row r="15" spans="1:15">
      <c r="A15" s="371" t="s">
        <v>71</v>
      </c>
      <c r="B15" s="373"/>
      <c r="C15" s="373"/>
      <c r="D15" s="373"/>
      <c r="E15" s="373"/>
      <c r="F15" s="373"/>
      <c r="G15" s="373"/>
      <c r="H15" s="374"/>
      <c r="I15" s="373"/>
      <c r="J15" s="374"/>
      <c r="K15" s="373"/>
      <c r="L15" s="373">
        <f>IF((D15-E15+F15-G15+H15-J15)&gt;0,D15-E15+F15-G15+H15-J15,0)</f>
        <v>0</v>
      </c>
      <c r="M15" s="373">
        <f>IF((D15-E15+F15-G15+H15-J15)&lt;0,-(D15-E15+F15-G15+H15-J15),0)</f>
        <v>0</v>
      </c>
      <c r="N15" s="373"/>
      <c r="O15" s="373"/>
    </row>
    <row r="16" spans="1:15">
      <c r="A16" s="375" t="s">
        <v>65</v>
      </c>
      <c r="B16" s="373">
        <f>Balances!F17</f>
        <v>0</v>
      </c>
      <c r="C16" s="373">
        <f>Balances!D17</f>
        <v>0</v>
      </c>
      <c r="D16" s="373">
        <f t="shared" ref="D16:D25" si="2">IF((B16-C16)&lt;0,C16-B16,0)</f>
        <v>0</v>
      </c>
      <c r="E16" s="373">
        <f t="shared" ref="E16:E25" si="3">IF((B16-C16)&gt;0,B16-C16,0)</f>
        <v>0</v>
      </c>
      <c r="F16" s="373"/>
      <c r="G16" s="373"/>
      <c r="H16" s="374"/>
      <c r="I16" s="373"/>
      <c r="J16" s="374"/>
      <c r="K16" s="373"/>
      <c r="M16" s="375"/>
      <c r="N16" s="373">
        <f t="shared" ref="N16:N24" si="4">IF((D16-E16+F16-G16+H16-J16)&gt;0,D16-E16+F16-G16+H16-J16,0)</f>
        <v>0</v>
      </c>
      <c r="O16" s="373">
        <f t="shared" ref="O16:O24" si="5">IF((D16-E16+F16-G16+H16-J16)&lt;0,-(D16-E16+F16-G16+H16-J16),0)</f>
        <v>0</v>
      </c>
    </row>
    <row r="17" spans="1:15">
      <c r="A17" s="375" t="s">
        <v>264</v>
      </c>
      <c r="B17" s="373">
        <f>Balances!F18</f>
        <v>0</v>
      </c>
      <c r="C17" s="373">
        <f>Balances!D18</f>
        <v>0</v>
      </c>
      <c r="D17" s="373">
        <f>IF((B17-C17)&lt;0,C17-B17,0)</f>
        <v>0</v>
      </c>
      <c r="E17" s="373">
        <f>IF((B17-C17)&gt;0,B17-C17,0)</f>
        <v>0</v>
      </c>
      <c r="F17" s="373"/>
      <c r="G17" s="373"/>
      <c r="H17" s="374"/>
      <c r="I17" s="373"/>
      <c r="J17" s="374"/>
      <c r="K17" s="373"/>
      <c r="M17" s="375"/>
      <c r="N17" s="373">
        <f t="shared" si="4"/>
        <v>0</v>
      </c>
      <c r="O17" s="373">
        <f t="shared" si="5"/>
        <v>0</v>
      </c>
    </row>
    <row r="18" spans="1:15">
      <c r="A18" s="375" t="s">
        <v>73</v>
      </c>
      <c r="B18" s="373">
        <f>Balances!F19</f>
        <v>0</v>
      </c>
      <c r="C18" s="373">
        <f>Balances!D19</f>
        <v>0</v>
      </c>
      <c r="D18" s="373">
        <f>IF((B18-C18)&lt;0,C18-B18,0)</f>
        <v>0</v>
      </c>
      <c r="E18" s="373">
        <f>IF((B18-C18)&gt;0,B18-C18,0)</f>
        <v>0</v>
      </c>
      <c r="F18" s="373"/>
      <c r="G18" s="373">
        <f>D18</f>
        <v>0</v>
      </c>
      <c r="H18" s="374"/>
      <c r="I18" s="373"/>
      <c r="J18" s="374"/>
      <c r="K18" s="373"/>
      <c r="M18" s="375"/>
      <c r="N18" s="373">
        <f t="shared" si="4"/>
        <v>0</v>
      </c>
      <c r="O18" s="373">
        <f t="shared" si="5"/>
        <v>0</v>
      </c>
    </row>
    <row r="19" spans="1:15">
      <c r="A19" s="375" t="s">
        <v>448</v>
      </c>
      <c r="B19" s="373">
        <f>Balances!F20</f>
        <v>0</v>
      </c>
      <c r="C19" s="373">
        <f>Balances!D20</f>
        <v>0</v>
      </c>
      <c r="D19" s="373">
        <f>IF((B19-C19)&lt;0,C19-B19,0)</f>
        <v>0</v>
      </c>
      <c r="E19" s="373">
        <f>IF((B19-C19)&gt;0,B19-C19,0)</f>
        <v>0</v>
      </c>
      <c r="F19" s="373">
        <f>E19</f>
        <v>0</v>
      </c>
      <c r="G19" s="373">
        <f>D19</f>
        <v>0</v>
      </c>
      <c r="H19" s="374"/>
      <c r="I19" s="373"/>
      <c r="J19" s="374"/>
      <c r="K19" s="373"/>
      <c r="M19" s="375"/>
      <c r="N19" s="373">
        <f>IF((D19-E19+F19-G19+H19-J19)&gt;0,D19-E19+F19-G19+H19-J19,0)</f>
        <v>0</v>
      </c>
      <c r="O19" s="373">
        <f>IF((D19-E19+F19-G19+H19-J19)&lt;0,-(D19-E19+F19-G19+H19-J19),0)</f>
        <v>0</v>
      </c>
    </row>
    <row r="20" spans="1:15">
      <c r="A20" s="375" t="s">
        <v>450</v>
      </c>
      <c r="B20" s="373">
        <f>Balances!F21</f>
        <v>0</v>
      </c>
      <c r="C20" s="373">
        <f>Balances!D21</f>
        <v>0</v>
      </c>
      <c r="D20" s="373">
        <f t="shared" si="2"/>
        <v>0</v>
      </c>
      <c r="E20" s="373">
        <f t="shared" si="3"/>
        <v>0</v>
      </c>
      <c r="F20" s="373">
        <f>G44+G19</f>
        <v>0</v>
      </c>
      <c r="G20" s="373">
        <f>F44+F19</f>
        <v>0</v>
      </c>
      <c r="H20" s="374"/>
      <c r="I20" s="373"/>
      <c r="J20" s="374"/>
      <c r="K20" s="373"/>
      <c r="M20" s="375"/>
      <c r="N20" s="373">
        <f t="shared" si="4"/>
        <v>0</v>
      </c>
      <c r="O20" s="373">
        <f t="shared" si="5"/>
        <v>0</v>
      </c>
    </row>
    <row r="21" spans="1:15">
      <c r="A21" s="375" t="s">
        <v>449</v>
      </c>
      <c r="B21" s="373">
        <f>Balances!F22</f>
        <v>0</v>
      </c>
      <c r="C21" s="373">
        <f>Balances!D22</f>
        <v>0</v>
      </c>
      <c r="D21" s="373">
        <f>IF((B21-C21)&lt;0,C21-B21,0)</f>
        <v>0</v>
      </c>
      <c r="E21" s="373">
        <f>IF((B21-C21)&gt;0,B21-C21,0)</f>
        <v>0</v>
      </c>
      <c r="F21" s="373"/>
      <c r="G21" s="373"/>
      <c r="H21" s="374"/>
      <c r="I21" s="373"/>
      <c r="J21" s="374"/>
      <c r="K21" s="373"/>
      <c r="M21" s="375"/>
      <c r="N21" s="373">
        <f>IF((D21-E21+F21-G21+H21-J21)&gt;0,D21-E21+F21-G21+H21-J21,0)</f>
        <v>0</v>
      </c>
      <c r="O21" s="373">
        <f>IF((D21-E21+F21-G21+H21-J21)&lt;0,-(D21-E21+F21-G21+H21-J21),0)</f>
        <v>0</v>
      </c>
    </row>
    <row r="22" spans="1:15">
      <c r="A22" s="375" t="s">
        <v>153</v>
      </c>
      <c r="B22" s="373">
        <f>Balances!F23</f>
        <v>0</v>
      </c>
      <c r="C22" s="373">
        <f>Balances!D23</f>
        <v>0</v>
      </c>
      <c r="D22" s="373">
        <f t="shared" si="2"/>
        <v>0</v>
      </c>
      <c r="E22" s="373">
        <f t="shared" si="3"/>
        <v>0</v>
      </c>
      <c r="F22" s="373"/>
      <c r="G22" s="373">
        <f>F35</f>
        <v>0</v>
      </c>
      <c r="H22" s="374"/>
      <c r="I22" s="373"/>
      <c r="J22" s="374"/>
      <c r="K22" s="373"/>
      <c r="M22" s="375"/>
      <c r="N22" s="373">
        <f t="shared" si="4"/>
        <v>0</v>
      </c>
      <c r="O22" s="373">
        <f t="shared" si="5"/>
        <v>0</v>
      </c>
    </row>
    <row r="23" spans="1:15">
      <c r="A23" s="375" t="s">
        <v>271</v>
      </c>
      <c r="B23" s="373">
        <f>Balances!F25</f>
        <v>0</v>
      </c>
      <c r="C23" s="373">
        <f>Balances!D25</f>
        <v>0</v>
      </c>
      <c r="D23" s="373">
        <f t="shared" si="2"/>
        <v>0</v>
      </c>
      <c r="E23" s="373">
        <f t="shared" si="3"/>
        <v>0</v>
      </c>
      <c r="F23" s="373"/>
      <c r="G23" s="373"/>
      <c r="H23" s="374"/>
      <c r="I23" s="373"/>
      <c r="J23" s="374"/>
      <c r="K23" s="373"/>
      <c r="M23" s="375"/>
      <c r="N23" s="373">
        <f t="shared" si="4"/>
        <v>0</v>
      </c>
      <c r="O23" s="373">
        <f t="shared" si="5"/>
        <v>0</v>
      </c>
    </row>
    <row r="24" spans="1:15">
      <c r="A24" s="375" t="s">
        <v>272</v>
      </c>
      <c r="B24" s="373">
        <f>Balances!F26</f>
        <v>0</v>
      </c>
      <c r="C24" s="373">
        <f>Balances!D26</f>
        <v>0</v>
      </c>
      <c r="D24" s="373">
        <f>IF((B24-C24)&lt;0,C24-B24,0)</f>
        <v>0</v>
      </c>
      <c r="E24" s="373">
        <f>IF((B24-C24)&gt;0,B24-C24,0)</f>
        <v>0</v>
      </c>
      <c r="F24" s="373"/>
      <c r="G24" s="373"/>
      <c r="H24" s="374"/>
      <c r="I24" s="373"/>
      <c r="J24" s="374"/>
      <c r="K24" s="373"/>
      <c r="M24" s="375"/>
      <c r="N24" s="373">
        <f t="shared" si="4"/>
        <v>0</v>
      </c>
      <c r="O24" s="373">
        <f t="shared" si="5"/>
        <v>0</v>
      </c>
    </row>
    <row r="25" spans="1:15">
      <c r="A25" s="375" t="s">
        <v>329</v>
      </c>
      <c r="B25" s="373">
        <f>Balances!F28</f>
        <v>0</v>
      </c>
      <c r="C25" s="373">
        <f>Balances!D28</f>
        <v>0</v>
      </c>
      <c r="D25" s="373">
        <f t="shared" si="2"/>
        <v>0</v>
      </c>
      <c r="E25" s="373">
        <f t="shared" si="3"/>
        <v>0</v>
      </c>
      <c r="F25" s="373"/>
      <c r="G25" s="373"/>
      <c r="H25" s="374"/>
      <c r="I25" s="373"/>
      <c r="J25" s="374"/>
      <c r="K25" s="373"/>
      <c r="L25" s="373">
        <f>IF((D25-E25+F25-G25+H25-J25)&gt;0,D25-E25+F25-G25+H25-J25,0)</f>
        <v>0</v>
      </c>
      <c r="M25" s="373">
        <f>IF((D25-E25+F25-G25+H25-J25)&lt;0,-(D25-E25+F25-G25+H25-J25),0)</f>
        <v>0</v>
      </c>
      <c r="N25" s="373"/>
      <c r="O25" s="373"/>
    </row>
    <row r="26" spans="1:15">
      <c r="A26" s="376" t="str">
        <f>Balances!C29</f>
        <v>Acreedores comerciales</v>
      </c>
      <c r="B26" s="373">
        <f>Balances!F29</f>
        <v>0</v>
      </c>
      <c r="C26" s="373">
        <f>Balances!D29</f>
        <v>0</v>
      </c>
      <c r="D26" s="373">
        <f>IF((B26-C26)&lt;0,C26-B26,0)</f>
        <v>0</v>
      </c>
      <c r="E26" s="373">
        <f>IF((B26-C26)&gt;0,B26-C26,0)</f>
        <v>0</v>
      </c>
      <c r="F26" s="373"/>
      <c r="G26" s="373"/>
      <c r="H26" s="374">
        <f>J37</f>
        <v>0</v>
      </c>
      <c r="I26" s="383">
        <v>-2</v>
      </c>
      <c r="J26" s="374"/>
      <c r="K26" s="373"/>
      <c r="L26" s="373">
        <f>IF((D26-E26+F26-G26+H26-J26)&gt;0,D26-E26+F26-G26+H26-J26,0)</f>
        <v>0</v>
      </c>
      <c r="M26" s="373">
        <f>IF((D26-E26+F26-G26+H26-J26)&lt;0,-(D26-E26+F26-G26+H26-J26),0)</f>
        <v>0</v>
      </c>
      <c r="N26" s="373"/>
      <c r="O26" s="373"/>
    </row>
    <row r="27" spans="1:15">
      <c r="A27" s="376" t="str">
        <f>Balances!C30</f>
        <v>Dividendos a pagar</v>
      </c>
      <c r="B27" s="373">
        <f>Balances!F30</f>
        <v>0</v>
      </c>
      <c r="C27" s="373">
        <f>Balances!D30</f>
        <v>0</v>
      </c>
      <c r="D27" s="373">
        <f>IF((B27-C27)&lt;0,C27-B27,0)</f>
        <v>0</v>
      </c>
      <c r="E27" s="373">
        <f>IF((B27-C27)&gt;0,B27-C27,0)</f>
        <v>0</v>
      </c>
      <c r="F27" s="373"/>
      <c r="G27" s="373"/>
      <c r="H27" s="374">
        <f>J43</f>
        <v>0</v>
      </c>
      <c r="I27" s="383">
        <f>K43</f>
        <v>-5</v>
      </c>
      <c r="J27" s="374"/>
      <c r="K27" s="373"/>
      <c r="L27" s="373"/>
      <c r="M27" s="373"/>
      <c r="N27" s="373">
        <f>IF((D27-E27+F27-G27+H27-J27)&gt;0,D27-E27+F27-G27+H27-J27,0)</f>
        <v>0</v>
      </c>
      <c r="O27" s="373">
        <f>IF((D27-E27+F27-G27+H27-J27)&lt;0,-(D27-E27+F27-G27+H27-J27),0)</f>
        <v>0</v>
      </c>
    </row>
    <row r="28" spans="1:15">
      <c r="A28" s="376" t="str">
        <f>Balances!C31</f>
        <v>H.P. acreedora por distintos conceptos</v>
      </c>
      <c r="B28" s="373">
        <f>Balances!F31</f>
        <v>0</v>
      </c>
      <c r="C28" s="373">
        <f>Balances!D31</f>
        <v>0</v>
      </c>
      <c r="D28" s="373">
        <f>IF((B28-C28)&lt;0,C28-B28,0)</f>
        <v>0</v>
      </c>
      <c r="E28" s="373">
        <f>IF((B28-C28)&gt;0,B28-C28,0)</f>
        <v>0</v>
      </c>
      <c r="F28" s="373">
        <f>G12</f>
        <v>0</v>
      </c>
      <c r="G28" s="373">
        <f>F12</f>
        <v>0</v>
      </c>
      <c r="H28" s="374">
        <f>Circulantes!F35+J42</f>
        <v>0</v>
      </c>
      <c r="I28" s="383">
        <v>-4</v>
      </c>
      <c r="J28" s="374"/>
      <c r="K28" s="373"/>
      <c r="L28" s="373">
        <f>IF((D28-E28+F28-G28+H28-J28)&gt;0,D28-E28+F28-G28+H28-J28,0)</f>
        <v>0</v>
      </c>
      <c r="M28" s="373">
        <f>IF((D28-E28+F28-G28+H28-J28)&lt;0,-(D28-E28+F28-G28+H28-J28),0)</f>
        <v>0</v>
      </c>
      <c r="N28" s="373"/>
      <c r="O28" s="373"/>
    </row>
    <row r="29" spans="1:15">
      <c r="A29" s="376" t="str">
        <f>Balances!C32</f>
        <v>Organismos de la S.S. acreedores</v>
      </c>
      <c r="B29" s="373">
        <f>Balances!F32</f>
        <v>0</v>
      </c>
      <c r="C29" s="373">
        <f>Balances!D32</f>
        <v>0</v>
      </c>
      <c r="D29" s="373">
        <f>IF((B29-C29)&lt;0,C29-B29,0)</f>
        <v>0</v>
      </c>
      <c r="E29" s="373">
        <f>IF((B29-C29)&gt;0,B29-C29,0)</f>
        <v>0</v>
      </c>
      <c r="F29" s="373"/>
      <c r="G29" s="373"/>
      <c r="H29" s="384">
        <f>Circulantes!F36</f>
        <v>0</v>
      </c>
      <c r="I29" s="383">
        <v>-3</v>
      </c>
      <c r="J29" s="374"/>
      <c r="K29" s="373"/>
      <c r="L29" s="373">
        <f>IF((D29-E29+F29-G29+H29-J29)&gt;0,D29-E29+F29-G29+H29-J29,0)</f>
        <v>0</v>
      </c>
      <c r="M29" s="373">
        <f>IF((D29-E29+F29-G29+H29-J29)&lt;0,-(D29-E29+F29-G29+H29-J29),0)</f>
        <v>0</v>
      </c>
      <c r="N29" s="373"/>
      <c r="O29" s="373"/>
    </row>
    <row r="30" spans="1:15">
      <c r="A30" s="385" t="str">
        <f>Balances!C33</f>
        <v>Otras cuentas a pagar no financieras</v>
      </c>
      <c r="B30" s="381">
        <f>Balances!F33</f>
        <v>0</v>
      </c>
      <c r="C30" s="381">
        <f>Balances!D33</f>
        <v>0</v>
      </c>
      <c r="D30" s="381">
        <f>IF((B30-C30)&lt;0,C30-B30,0)</f>
        <v>0</v>
      </c>
      <c r="E30" s="381">
        <f>IF((B30-C30)&gt;0,B30-C30,0)</f>
        <v>0</v>
      </c>
      <c r="F30" s="381"/>
      <c r="G30" s="381"/>
      <c r="H30" s="386"/>
      <c r="I30" s="387"/>
      <c r="J30" s="382"/>
      <c r="K30" s="381"/>
      <c r="L30" s="381">
        <f>IF((D30-E30+F30-G30+H30-J30)&gt;0,D30-E30+F30-G30+H30-J30,0)</f>
        <v>0</v>
      </c>
      <c r="M30" s="381">
        <f>IF((D30-E30+F30-G30+H30-J30)&lt;0,-(D30-E30+F30-G30+H30-J30),0)</f>
        <v>0</v>
      </c>
      <c r="N30" s="381"/>
      <c r="O30" s="381"/>
    </row>
    <row r="31" spans="1:15">
      <c r="A31" s="375" t="s">
        <v>115</v>
      </c>
      <c r="B31" s="373"/>
      <c r="C31" s="373"/>
      <c r="D31" s="373"/>
      <c r="E31" s="373">
        <f>Resultados!C5</f>
        <v>0</v>
      </c>
      <c r="F31" s="373"/>
      <c r="G31" s="373"/>
      <c r="H31" s="374">
        <f>E31</f>
        <v>0</v>
      </c>
      <c r="I31" s="377">
        <v>-1</v>
      </c>
      <c r="J31" s="374"/>
      <c r="K31" s="373"/>
      <c r="L31" s="373">
        <f t="shared" ref="L31:L39" si="6">IF((D31-E31+F31-G31+H31-J31)&gt;0,D31-E31+F31-G31+H31-J31,0)</f>
        <v>0</v>
      </c>
      <c r="M31" s="373">
        <f t="shared" ref="M31:M39" si="7">IF((D31-E31+F31-G31+H31-J31)&lt;0,-(D31-E31+F31-G31+H31-J31),0)</f>
        <v>0</v>
      </c>
      <c r="N31" s="373"/>
      <c r="O31" s="373"/>
    </row>
    <row r="32" spans="1:15">
      <c r="A32" s="375" t="s">
        <v>42</v>
      </c>
      <c r="B32" s="373"/>
      <c r="C32" s="373"/>
      <c r="D32" s="373"/>
      <c r="E32" s="373">
        <f>Resultados!C6</f>
        <v>0</v>
      </c>
      <c r="F32" s="373">
        <f>E32</f>
        <v>0</v>
      </c>
      <c r="G32" s="373"/>
      <c r="H32" s="374"/>
      <c r="I32" s="373"/>
      <c r="J32" s="374"/>
      <c r="K32" s="373"/>
      <c r="L32" s="373">
        <f t="shared" si="6"/>
        <v>0</v>
      </c>
      <c r="M32" s="373">
        <f t="shared" si="7"/>
        <v>0</v>
      </c>
      <c r="N32" s="373"/>
      <c r="O32" s="373"/>
    </row>
    <row r="33" spans="1:15" ht="16.5">
      <c r="A33" s="655" t="s">
        <v>298</v>
      </c>
      <c r="B33" s="373"/>
      <c r="C33" s="373"/>
      <c r="D33" s="373"/>
      <c r="E33" s="373">
        <f>Resultados!C7</f>
        <v>0</v>
      </c>
      <c r="F33" s="373"/>
      <c r="G33" s="373">
        <f>D33</f>
        <v>0</v>
      </c>
      <c r="H33" s="374"/>
      <c r="I33" s="373"/>
      <c r="J33" s="374"/>
      <c r="K33" s="373"/>
      <c r="L33" s="373">
        <f t="shared" si="6"/>
        <v>0</v>
      </c>
      <c r="M33" s="373">
        <f t="shared" si="7"/>
        <v>0</v>
      </c>
      <c r="N33" s="373"/>
      <c r="O33" s="373"/>
    </row>
    <row r="34" spans="1:15" ht="16.5">
      <c r="A34" s="388" t="s">
        <v>235</v>
      </c>
      <c r="B34" s="376"/>
      <c r="C34" s="373"/>
      <c r="D34" s="373"/>
      <c r="E34" s="373">
        <f>Resultados!C8+Resultados!C9</f>
        <v>0</v>
      </c>
      <c r="F34" s="373">
        <f>E34</f>
        <v>0</v>
      </c>
      <c r="G34" s="373"/>
      <c r="H34" s="374"/>
      <c r="I34" s="373"/>
      <c r="J34" s="374"/>
      <c r="K34" s="373"/>
      <c r="L34" s="373"/>
      <c r="M34" s="373"/>
      <c r="N34" s="373"/>
      <c r="O34" s="373"/>
    </row>
    <row r="35" spans="1:15" ht="16.5">
      <c r="A35" s="388" t="s">
        <v>245</v>
      </c>
      <c r="B35" s="376"/>
      <c r="C35" s="373"/>
      <c r="D35" s="373"/>
      <c r="E35" s="373">
        <f>Resultados!C10</f>
        <v>0</v>
      </c>
      <c r="F35" s="373">
        <f>E35</f>
        <v>0</v>
      </c>
      <c r="G35" s="373"/>
      <c r="H35" s="374"/>
      <c r="I35" s="373"/>
      <c r="J35" s="374"/>
      <c r="K35" s="373"/>
      <c r="L35" s="373"/>
      <c r="M35" s="373"/>
      <c r="N35" s="373"/>
      <c r="O35" s="373"/>
    </row>
    <row r="36" spans="1:15" ht="16.5">
      <c r="A36" s="388" t="s">
        <v>165</v>
      </c>
      <c r="B36" s="376"/>
      <c r="C36" s="373"/>
      <c r="D36" s="373"/>
      <c r="E36" s="373">
        <f>Resultados!C11</f>
        <v>0</v>
      </c>
      <c r="F36" s="373"/>
      <c r="G36" s="373"/>
      <c r="H36" s="374"/>
      <c r="I36" s="373"/>
      <c r="J36" s="374"/>
      <c r="K36" s="373"/>
      <c r="L36" s="373">
        <f>IF((D36-E36+F36-G36+H36-J36)&gt;0,D36-E36+F36-G36+H36-J36,0)</f>
        <v>0</v>
      </c>
      <c r="M36" s="373">
        <f>IF((D36-E36+F36-G36+H36-J36)&lt;0,-(D36-E36+F36-G36+H36-J36),0)</f>
        <v>0</v>
      </c>
      <c r="N36" s="373"/>
      <c r="O36" s="373"/>
    </row>
    <row r="37" spans="1:15">
      <c r="A37" s="375" t="s">
        <v>116</v>
      </c>
      <c r="B37" s="373"/>
      <c r="C37" s="373"/>
      <c r="D37" s="373">
        <f>-SUM(Resultados!D12:D13)</f>
        <v>0</v>
      </c>
      <c r="E37" s="373"/>
      <c r="F37" s="373"/>
      <c r="G37" s="373"/>
      <c r="H37" s="374"/>
      <c r="I37" s="373"/>
      <c r="J37" s="374">
        <f>D37</f>
        <v>0</v>
      </c>
      <c r="K37" s="377">
        <v>-2</v>
      </c>
      <c r="L37" s="373">
        <f t="shared" si="6"/>
        <v>0</v>
      </c>
      <c r="M37" s="373">
        <f t="shared" si="7"/>
        <v>0</v>
      </c>
      <c r="N37" s="373"/>
      <c r="O37" s="373"/>
    </row>
    <row r="38" spans="1:15">
      <c r="A38" s="375" t="s">
        <v>117</v>
      </c>
      <c r="B38" s="373"/>
      <c r="C38" s="373"/>
      <c r="D38" s="373">
        <f>'G. Fijos'!B17</f>
        <v>0</v>
      </c>
      <c r="E38" s="373"/>
      <c r="F38" s="373"/>
      <c r="G38" s="373"/>
      <c r="H38" s="374"/>
      <c r="I38" s="373"/>
      <c r="J38" s="374">
        <f>Circulantes!F35+H29</f>
        <v>0</v>
      </c>
      <c r="K38" s="377">
        <v>-3</v>
      </c>
      <c r="L38" s="373">
        <f t="shared" si="6"/>
        <v>0</v>
      </c>
      <c r="M38" s="373">
        <f t="shared" si="7"/>
        <v>0</v>
      </c>
      <c r="N38" s="373"/>
      <c r="O38" s="373"/>
    </row>
    <row r="39" spans="1:15">
      <c r="A39" s="375" t="s">
        <v>118</v>
      </c>
      <c r="B39" s="373"/>
      <c r="C39" s="373"/>
      <c r="D39" s="373">
        <f>'G. Fijos'!B18</f>
        <v>0</v>
      </c>
      <c r="E39" s="373"/>
      <c r="F39" s="373"/>
      <c r="G39" s="373">
        <f>D39</f>
        <v>0</v>
      </c>
      <c r="H39" s="374"/>
      <c r="I39" s="373"/>
      <c r="J39" s="374"/>
      <c r="K39" s="377"/>
      <c r="L39" s="373">
        <f t="shared" si="6"/>
        <v>0</v>
      </c>
      <c r="M39" s="373">
        <f t="shared" si="7"/>
        <v>0</v>
      </c>
      <c r="N39" s="373"/>
      <c r="O39" s="373"/>
    </row>
    <row r="40" spans="1:15">
      <c r="A40" s="375" t="s">
        <v>119</v>
      </c>
      <c r="B40" s="373"/>
      <c r="C40" s="373"/>
      <c r="D40" s="373">
        <f>'G. Fijos'!B5</f>
        <v>0</v>
      </c>
      <c r="E40" s="373"/>
      <c r="F40" s="373"/>
      <c r="G40" s="373"/>
      <c r="H40" s="374"/>
      <c r="I40" s="373"/>
      <c r="J40" s="374"/>
      <c r="K40" s="377"/>
      <c r="L40" s="373">
        <f>IF((D40-E40+F40-G40+H40-J40)&gt;0,D40-E40+F40-G40+H40-J40,0)</f>
        <v>0</v>
      </c>
      <c r="M40" s="373">
        <f>IF((D40-E40+F40-G40+H40-J40)&lt;0,-(D40-E40+F40-G40+H40-J40),0)</f>
        <v>0</v>
      </c>
      <c r="N40" s="373"/>
      <c r="O40" s="373"/>
    </row>
    <row r="41" spans="1:15">
      <c r="A41" s="375" t="s">
        <v>120</v>
      </c>
      <c r="B41" s="373"/>
      <c r="C41" s="373"/>
      <c r="D41" s="373">
        <f>'G. Fijos'!B21</f>
        <v>0</v>
      </c>
      <c r="E41" s="373"/>
      <c r="F41" s="373"/>
      <c r="G41" s="373"/>
      <c r="H41" s="374"/>
      <c r="I41" s="373"/>
      <c r="J41" s="374"/>
      <c r="K41" s="377"/>
      <c r="L41" s="373">
        <f>IF((D41-E41+F41-G41+H41-J41)&gt;0,D41-E41+F41-G41+H41-J41,0)</f>
        <v>0</v>
      </c>
      <c r="M41" s="373">
        <f>IF((D41-E41+F41-G41+H41-J41)&lt;0,-(D41-E41+F41-G41+H41-J41),0)</f>
        <v>0</v>
      </c>
      <c r="N41" s="373"/>
      <c r="O41" s="373"/>
    </row>
    <row r="42" spans="1:15">
      <c r="A42" s="375" t="s">
        <v>45</v>
      </c>
      <c r="B42" s="373"/>
      <c r="C42" s="373"/>
      <c r="D42" s="373">
        <f>-Resultados!D23</f>
        <v>0</v>
      </c>
      <c r="E42" s="373"/>
      <c r="F42" s="373"/>
      <c r="G42" s="373"/>
      <c r="H42" s="374"/>
      <c r="I42" s="373"/>
      <c r="J42" s="374">
        <f>D42</f>
        <v>0</v>
      </c>
      <c r="K42" s="377">
        <v>-4</v>
      </c>
      <c r="L42" s="373">
        <f>IF((D42-E42+F42-G42+H42-J42)&gt;0,D42-E42+F42-G42+H42-J42,0)</f>
        <v>0</v>
      </c>
      <c r="M42" s="373">
        <f>IF((D42-E42+F42-G42+H42-J42)&lt;0,-(D42-E42+F42-G42+H42-J42),0)</f>
        <v>0</v>
      </c>
      <c r="N42" s="373"/>
      <c r="O42" s="373"/>
    </row>
    <row r="43" spans="1:15">
      <c r="A43" s="375" t="s">
        <v>55</v>
      </c>
      <c r="B43" s="373"/>
      <c r="C43" s="373"/>
      <c r="D43" s="373">
        <f>-Resultados!D25</f>
        <v>0</v>
      </c>
      <c r="E43" s="373"/>
      <c r="F43" s="373"/>
      <c r="G43" s="373"/>
      <c r="H43" s="374"/>
      <c r="I43" s="373"/>
      <c r="J43" s="374">
        <f>E27</f>
        <v>0</v>
      </c>
      <c r="K43" s="377">
        <v>-5</v>
      </c>
      <c r="L43" s="373">
        <f>IF((D43-E43+F43-G43+H43-J43)&gt;0,D43-E43+F43-G43+H43-J43,0)</f>
        <v>0</v>
      </c>
      <c r="M43" s="373">
        <f>IF((D43-E43+F43-G43+H43-J43)&lt;0,-(D43-E43+F43-G43+H43-J43),0)</f>
        <v>0</v>
      </c>
      <c r="N43" s="373"/>
      <c r="O43" s="373"/>
    </row>
    <row r="44" spans="1:15">
      <c r="A44" s="378" t="s">
        <v>121</v>
      </c>
      <c r="B44" s="381"/>
      <c r="C44" s="381"/>
      <c r="D44" s="373">
        <f>IF(Resultados!$D$26&gt;0,Resultados!$D$26,0)</f>
        <v>0</v>
      </c>
      <c r="E44" s="373">
        <f>IF(Resultados!$D$26&lt;0,-Resultados!$D$26,0)</f>
        <v>0</v>
      </c>
      <c r="F44" s="381">
        <f>E44</f>
        <v>0</v>
      </c>
      <c r="G44" s="381">
        <f>D44</f>
        <v>0</v>
      </c>
      <c r="H44" s="382"/>
      <c r="I44" s="381"/>
      <c r="J44" s="382"/>
      <c r="K44" s="373"/>
      <c r="L44" s="373">
        <f>IF((D44-E44+F44-G44+H44-J44)&gt;0,D44-E44+F44-G44+H44-J44,0)</f>
        <v>0</v>
      </c>
      <c r="M44" s="373">
        <f>IF((D44-E44+F44-G44+H44-J44)&lt;0,-(D44-E44+F44-G44+H44-J44),0)</f>
        <v>0</v>
      </c>
      <c r="N44" s="381"/>
      <c r="O44" s="381"/>
    </row>
    <row r="45" spans="1:15">
      <c r="A45" s="389" t="s">
        <v>122</v>
      </c>
      <c r="B45" s="390">
        <f>SUM(B6:B14)-SUM(B16:B30)</f>
        <v>0</v>
      </c>
      <c r="C45" s="390">
        <f>SUM(C6:C14)-SUM(C16:C30)</f>
        <v>0</v>
      </c>
      <c r="D45" s="390">
        <f>SUM(D6:D44)</f>
        <v>0</v>
      </c>
      <c r="E45" s="390">
        <f>SUM(E6:E44)</f>
        <v>0</v>
      </c>
      <c r="F45" s="390">
        <f t="shared" ref="F45:M45" si="8">SUM(F6:F44)</f>
        <v>0</v>
      </c>
      <c r="G45" s="390">
        <f t="shared" si="8"/>
        <v>0</v>
      </c>
      <c r="H45" s="391">
        <f t="shared" si="8"/>
        <v>0</v>
      </c>
      <c r="I45" s="392"/>
      <c r="J45" s="391">
        <f t="shared" si="8"/>
        <v>0</v>
      </c>
      <c r="K45" s="392"/>
      <c r="L45" s="390">
        <f t="shared" si="8"/>
        <v>0</v>
      </c>
      <c r="M45" s="390">
        <f t="shared" si="8"/>
        <v>0</v>
      </c>
      <c r="N45" s="390">
        <f>SUM(N6:N44)</f>
        <v>0</v>
      </c>
      <c r="O45" s="390">
        <f>SUM(O6:O44)</f>
        <v>0</v>
      </c>
    </row>
    <row r="46" spans="1:15" ht="8.25" customHeight="1">
      <c r="O46" s="365"/>
    </row>
    <row r="47" spans="1:15" s="369" customFormat="1">
      <c r="A47" s="1081" t="s">
        <v>102</v>
      </c>
      <c r="B47" s="1083" t="s">
        <v>96</v>
      </c>
      <c r="C47" s="1083" t="s">
        <v>74</v>
      </c>
      <c r="D47" s="366" t="s">
        <v>104</v>
      </c>
      <c r="E47" s="367"/>
      <c r="F47" s="368" t="s">
        <v>105</v>
      </c>
      <c r="G47" s="368"/>
      <c r="H47" s="366" t="s">
        <v>106</v>
      </c>
      <c r="I47" s="368"/>
      <c r="J47" s="367"/>
      <c r="K47" s="368"/>
      <c r="L47" s="366" t="s">
        <v>107</v>
      </c>
      <c r="M47" s="367"/>
      <c r="N47" s="366" t="s">
        <v>108</v>
      </c>
      <c r="O47" s="367"/>
    </row>
    <row r="48" spans="1:15" s="369" customFormat="1">
      <c r="A48" s="1082"/>
      <c r="B48" s="1084"/>
      <c r="C48" s="1084"/>
      <c r="D48" s="370" t="s">
        <v>168</v>
      </c>
      <c r="E48" s="370" t="s">
        <v>169</v>
      </c>
      <c r="F48" s="370" t="s">
        <v>109</v>
      </c>
      <c r="G48" s="370" t="s">
        <v>110</v>
      </c>
      <c r="H48" s="366" t="s">
        <v>109</v>
      </c>
      <c r="I48" s="367"/>
      <c r="J48" s="366" t="s">
        <v>110</v>
      </c>
      <c r="K48" s="367"/>
      <c r="L48" s="370" t="s">
        <v>111</v>
      </c>
      <c r="M48" s="370" t="s">
        <v>112</v>
      </c>
      <c r="N48" s="370" t="s">
        <v>113</v>
      </c>
      <c r="O48" s="370" t="s">
        <v>112</v>
      </c>
    </row>
    <row r="49" spans="1:15">
      <c r="A49" s="371" t="s">
        <v>69</v>
      </c>
      <c r="B49" s="372"/>
      <c r="C49" s="373"/>
      <c r="D49" s="373"/>
      <c r="E49" s="373"/>
      <c r="F49" s="373"/>
      <c r="G49" s="373"/>
      <c r="H49" s="374"/>
      <c r="I49" s="377"/>
      <c r="J49" s="374"/>
      <c r="K49" s="377"/>
      <c r="L49" s="373"/>
      <c r="M49" s="373"/>
      <c r="N49" s="373"/>
      <c r="O49" s="373"/>
    </row>
    <row r="50" spans="1:15">
      <c r="A50" s="375" t="s">
        <v>166</v>
      </c>
      <c r="B50" s="376">
        <f>Balances!H4+Balances!H6</f>
        <v>0</v>
      </c>
      <c r="C50" s="373">
        <f t="shared" ref="C50:C58" si="9">B6</f>
        <v>0</v>
      </c>
      <c r="D50" s="373">
        <f t="shared" ref="D50:D58" si="10">IF((B50-C50)&gt;0,B50-C50,0)</f>
        <v>0</v>
      </c>
      <c r="E50" s="373">
        <f t="shared" ref="E50:E58" si="11">IF((B50-C50)&lt;0,C50-B50,0)</f>
        <v>0</v>
      </c>
      <c r="F50" s="373"/>
      <c r="G50" s="373">
        <f>F78</f>
        <v>0</v>
      </c>
      <c r="H50" s="374"/>
      <c r="I50" s="377"/>
      <c r="J50" s="374"/>
      <c r="K50" s="377"/>
      <c r="M50" s="375"/>
      <c r="N50" s="373">
        <f>IF((D50-E50+F50-G50+H50-J50)&gt;0,D50-E50+F50-G50+H50-J50,0)</f>
        <v>0</v>
      </c>
      <c r="O50" s="373">
        <f>IF((D50-E50+F50-G50+H50-J50)&lt;0,-(D50-E50+F50-G50+H50-J50),0)</f>
        <v>0</v>
      </c>
    </row>
    <row r="51" spans="1:15">
      <c r="A51" s="375" t="s">
        <v>114</v>
      </c>
      <c r="B51" s="376">
        <f>Balances!H5+Balances!H7</f>
        <v>0</v>
      </c>
      <c r="C51" s="373">
        <f t="shared" si="9"/>
        <v>0</v>
      </c>
      <c r="D51" s="373">
        <f t="shared" si="10"/>
        <v>0</v>
      </c>
      <c r="E51" s="373">
        <f t="shared" si="11"/>
        <v>0</v>
      </c>
      <c r="F51" s="373">
        <f>G83</f>
        <v>0</v>
      </c>
      <c r="G51" s="373"/>
      <c r="H51" s="374"/>
      <c r="I51" s="377"/>
      <c r="J51" s="374"/>
      <c r="K51" s="377"/>
      <c r="M51" s="375"/>
      <c r="N51" s="373">
        <f>IF((D51-E51+F51-G51+H51-J51)&gt;0,D51-E51+F51-G51+H51-J51,0)</f>
        <v>0</v>
      </c>
      <c r="O51" s="373">
        <f>IF((D51-E51+F51-G51+H51-J51)&lt;0,-(D51-E51+F51-G51+H51-J51),0)</f>
        <v>0</v>
      </c>
    </row>
    <row r="52" spans="1:15">
      <c r="A52" s="375" t="s">
        <v>167</v>
      </c>
      <c r="B52" s="376">
        <f>Balances!H8</f>
        <v>0</v>
      </c>
      <c r="C52" s="373">
        <f t="shared" si="9"/>
        <v>0</v>
      </c>
      <c r="D52" s="373">
        <f t="shared" si="10"/>
        <v>0</v>
      </c>
      <c r="E52" s="373">
        <f t="shared" si="11"/>
        <v>0</v>
      </c>
      <c r="F52" s="373"/>
      <c r="G52" s="373"/>
      <c r="H52" s="374"/>
      <c r="I52" s="377"/>
      <c r="J52" s="374"/>
      <c r="K52" s="377"/>
      <c r="M52" s="375"/>
      <c r="N52" s="373">
        <f>IF((D52-E52+F52-G52+H52-J52)&gt;0,D52-E52+F52-G52+H52-J52,0)</f>
        <v>0</v>
      </c>
      <c r="O52" s="373">
        <f>IF((D52-E52+F52-G52+H52-J52)&lt;0,-(D52-E52+F52-G52+H52-J52),0)</f>
        <v>0</v>
      </c>
    </row>
    <row r="53" spans="1:15">
      <c r="A53" s="375" t="s">
        <v>467</v>
      </c>
      <c r="B53" s="376">
        <f>Balances!H9</f>
        <v>0</v>
      </c>
      <c r="C53" s="373">
        <f t="shared" si="9"/>
        <v>0</v>
      </c>
      <c r="D53" s="373">
        <f>IF((B53-C53)&gt;0,B53-C53,0)</f>
        <v>0</v>
      </c>
      <c r="E53" s="373">
        <f>IF((B53-C53)&lt;0,C53-B53,0)</f>
        <v>0</v>
      </c>
      <c r="F53" s="373"/>
      <c r="G53" s="373"/>
      <c r="H53" s="374"/>
      <c r="I53" s="377"/>
      <c r="J53" s="374"/>
      <c r="K53" s="377"/>
      <c r="M53" s="375"/>
      <c r="N53" s="373"/>
      <c r="O53" s="373"/>
    </row>
    <row r="54" spans="1:15">
      <c r="A54" s="375" t="s">
        <v>319</v>
      </c>
      <c r="B54" s="376">
        <f>Balances!H11</f>
        <v>0</v>
      </c>
      <c r="C54" s="373">
        <f t="shared" si="9"/>
        <v>0</v>
      </c>
      <c r="D54" s="373">
        <f>IF((B54-C54)&gt;0,B54-C54,0)</f>
        <v>0</v>
      </c>
      <c r="E54" s="373">
        <f>IF((B54-C54)&lt;0,C54-B54,0)</f>
        <v>0</v>
      </c>
      <c r="F54" s="373"/>
      <c r="G54" s="373">
        <f>F76</f>
        <v>0</v>
      </c>
      <c r="H54" s="374"/>
      <c r="I54" s="377"/>
      <c r="J54" s="374"/>
      <c r="K54" s="377"/>
      <c r="L54" s="374">
        <f>IF((D54-E54+F54-G54+H54-J54)&gt;0,D54-E54+F54-G54+H54-J54,0)</f>
        <v>0</v>
      </c>
      <c r="M54" s="376">
        <f>IF((D54-E54+F54-G54+H54-J54)&lt;0,-(D54-E54+F54-G54+H54-J54),0)</f>
        <v>0</v>
      </c>
      <c r="N54" s="373"/>
      <c r="O54" s="373"/>
    </row>
    <row r="55" spans="1:15">
      <c r="A55" s="375" t="s">
        <v>52</v>
      </c>
      <c r="B55" s="376">
        <f>Balances!H12</f>
        <v>0</v>
      </c>
      <c r="C55" s="373">
        <f t="shared" si="9"/>
        <v>0</v>
      </c>
      <c r="D55" s="373">
        <f t="shared" si="10"/>
        <v>0</v>
      </c>
      <c r="E55" s="373">
        <f t="shared" si="11"/>
        <v>0</v>
      </c>
      <c r="F55" s="373"/>
      <c r="G55" s="373"/>
      <c r="H55" s="374"/>
      <c r="I55" s="377"/>
      <c r="J55" s="374">
        <f>H75</f>
        <v>0</v>
      </c>
      <c r="K55" s="377">
        <v>-1</v>
      </c>
      <c r="L55" s="374">
        <f>IF((D55-E55+F55-G55+H55-J55)&gt;0,D55-E55+F55-G55+H55-J55,0)</f>
        <v>0</v>
      </c>
      <c r="M55" s="376">
        <f>IF((D55-E55+F55-G55+H55-J55)&lt;0,-(D55-E55+F55-G55+H55-J55),0)</f>
        <v>0</v>
      </c>
      <c r="N55" s="373"/>
      <c r="O55" s="373"/>
    </row>
    <row r="56" spans="1:15">
      <c r="A56" s="171" t="s">
        <v>240</v>
      </c>
      <c r="B56" s="376">
        <f>Circulantes!K25</f>
        <v>0</v>
      </c>
      <c r="C56" s="373">
        <f t="shared" si="9"/>
        <v>0</v>
      </c>
      <c r="D56" s="373">
        <f>IF((B56-C56)&gt;0,B56-C56,0)</f>
        <v>0</v>
      </c>
      <c r="E56" s="373">
        <f>IF((B56-C56)&lt;0,C56-B56,0)</f>
        <v>0</v>
      </c>
      <c r="F56" s="373"/>
      <c r="G56" s="373">
        <f>D56</f>
        <v>0</v>
      </c>
      <c r="H56" s="374"/>
      <c r="I56" s="377"/>
      <c r="J56" s="374"/>
      <c r="K56" s="377"/>
      <c r="L56" s="374">
        <f>IF((D56-E56+F56-G56+H56-J56)&gt;0,D56-E56+F56-G56+H56-J56,0)</f>
        <v>0</v>
      </c>
      <c r="M56" s="376">
        <f>IF((D56-E56+F56-G56+H56-J56)&lt;0,-(D56-E56+F56-G56+H56-J56),0)</f>
        <v>0</v>
      </c>
      <c r="N56" s="373"/>
      <c r="O56" s="373"/>
    </row>
    <row r="57" spans="1:15">
      <c r="A57" s="375" t="s">
        <v>173</v>
      </c>
      <c r="B57" s="376">
        <f>Circulantes!K26</f>
        <v>0</v>
      </c>
      <c r="C57" s="373">
        <f t="shared" si="9"/>
        <v>0</v>
      </c>
      <c r="D57" s="373">
        <f>IF((B57-C57)&gt;0,B57-C57,0)</f>
        <v>0</v>
      </c>
      <c r="E57" s="373">
        <f>IF((B57-C57)&lt;0,C57-B57,0)</f>
        <v>0</v>
      </c>
      <c r="F57" s="373"/>
      <c r="G57" s="373"/>
      <c r="H57" s="374"/>
      <c r="I57" s="377"/>
      <c r="J57" s="374"/>
      <c r="K57" s="377"/>
      <c r="L57" s="374">
        <f>IF((D57-E57+F57-G57+H57-J57)&gt;0,D57-E57+F57-G57+H57-J57,0)</f>
        <v>0</v>
      </c>
      <c r="M57" s="376">
        <f>IF((D57-E57+F57-G57+H57-J57)&lt;0,-(D57-E57+F57-G57+H57-J57),0)</f>
        <v>0</v>
      </c>
      <c r="N57" s="373"/>
      <c r="O57" s="373"/>
    </row>
    <row r="58" spans="1:15">
      <c r="A58" s="378" t="s">
        <v>53</v>
      </c>
      <c r="B58" s="379">
        <f>Balances!H14</f>
        <v>0</v>
      </c>
      <c r="C58" s="380">
        <f t="shared" si="9"/>
        <v>0</v>
      </c>
      <c r="D58" s="380">
        <f t="shared" si="10"/>
        <v>0</v>
      </c>
      <c r="E58" s="380">
        <f t="shared" si="11"/>
        <v>0</v>
      </c>
      <c r="F58" s="381"/>
      <c r="G58" s="381"/>
      <c r="H58" s="382"/>
      <c r="I58" s="393"/>
      <c r="J58" s="382"/>
      <c r="K58" s="393"/>
      <c r="L58" s="379">
        <f>IF((SUM(L50:L57)+SUM(L59:L88)-SUM(M59:M88)-SUM(M50:M57))&lt;0,-(SUM(L50:L57)+SUM(L59:L88)-SUM(M59:M88)-SUM(M50:M57)),0)</f>
        <v>0</v>
      </c>
      <c r="M58" s="379">
        <f>IF((SUM(L50:L57)+SUM(L59:L88)-SUM(M59:M88)-SUM(M50:M57))&gt;0,SUM(L50:L57)+SUM(L59:L88)-SUM(M59:M88)-SUM(M50:M57),0)</f>
        <v>0</v>
      </c>
      <c r="N58" s="379">
        <f>IF((SUM(N50:N57)+SUM(N59:N88)-SUM(O59:O88)-SUM(O50:O57))&lt;0,-(SUM(N50:N57)+SUM(N59:N88)-SUM(O59:O88)-SUM(O50:O57)),0)</f>
        <v>0</v>
      </c>
      <c r="O58" s="379">
        <f>IF((SUM(N50:N57)+SUM(N59:N88)-SUM(O59:O88)-SUM(O50:O57))&gt;0,SUM(N50:N57)+SUM(N59:N88)-SUM(O59:O88)-SUM(O50:O57),0)</f>
        <v>0</v>
      </c>
    </row>
    <row r="59" spans="1:15">
      <c r="A59" s="371" t="s">
        <v>71</v>
      </c>
      <c r="B59" s="373"/>
      <c r="C59" s="373"/>
      <c r="D59" s="373"/>
      <c r="E59" s="373"/>
      <c r="F59" s="373"/>
      <c r="G59" s="373"/>
      <c r="H59" s="374"/>
      <c r="I59" s="377"/>
      <c r="J59" s="374"/>
      <c r="K59" s="377"/>
      <c r="L59" s="374">
        <f>IF((D59-E59+F59-G59+H59-J59)&gt;0,D59-E59+F59-G59+H59-J59,0)</f>
        <v>0</v>
      </c>
      <c r="M59" s="376">
        <f>IF((D59-E59+F59-G59+H59-J59)&lt;0,-(D59-E59+F59-G59+H59-J59),0)</f>
        <v>0</v>
      </c>
      <c r="N59" s="373"/>
      <c r="O59" s="373"/>
    </row>
    <row r="60" spans="1:15">
      <c r="A60" s="375" t="s">
        <v>65</v>
      </c>
      <c r="B60" s="373">
        <f>Balances!H17</f>
        <v>0</v>
      </c>
      <c r="C60" s="373">
        <f t="shared" ref="C60:C66" si="12">B16</f>
        <v>0</v>
      </c>
      <c r="D60" s="373">
        <f>IF((B60-C60)&lt;0,C60-B60,0)</f>
        <v>0</v>
      </c>
      <c r="E60" s="373">
        <f>IF((B60-C60)&gt;0,B60-C60,0)</f>
        <v>0</v>
      </c>
      <c r="F60" s="373"/>
      <c r="G60" s="373"/>
      <c r="H60" s="374"/>
      <c r="I60" s="377"/>
      <c r="J60" s="374"/>
      <c r="K60" s="377"/>
      <c r="M60" s="375"/>
      <c r="N60" s="373">
        <f t="shared" ref="N60:N68" si="13">IF((D60-E60+F60-G60+H60-J60)&gt;0,D60-E60+F60-G60+H60-J60,0)</f>
        <v>0</v>
      </c>
      <c r="O60" s="373">
        <f t="shared" ref="O60:O68" si="14">IF((D60-E60+F60-G60+H60-J60)&lt;0,-(D60-E60+F60-G60+H60-J60),0)</f>
        <v>0</v>
      </c>
    </row>
    <row r="61" spans="1:15">
      <c r="A61" s="375" t="s">
        <v>264</v>
      </c>
      <c r="B61" s="373">
        <f>Balances!H18</f>
        <v>0</v>
      </c>
      <c r="C61" s="373">
        <f t="shared" si="12"/>
        <v>0</v>
      </c>
      <c r="D61" s="373">
        <f t="shared" ref="D61:D69" si="15">IF((B61-C61)&lt;0,C61-B61,0)</f>
        <v>0</v>
      </c>
      <c r="E61" s="373">
        <f t="shared" ref="E61:E69" si="16">IF((B61-C61)&gt;0,B61-C61,0)</f>
        <v>0</v>
      </c>
      <c r="F61" s="373"/>
      <c r="G61" s="373"/>
      <c r="H61" s="374"/>
      <c r="I61" s="377"/>
      <c r="J61" s="374"/>
      <c r="K61" s="377"/>
      <c r="M61" s="375"/>
      <c r="N61" s="373">
        <f t="shared" si="13"/>
        <v>0</v>
      </c>
      <c r="O61" s="373">
        <f t="shared" si="14"/>
        <v>0</v>
      </c>
    </row>
    <row r="62" spans="1:15">
      <c r="A62" s="375" t="s">
        <v>73</v>
      </c>
      <c r="B62" s="373">
        <f>Balances!H19</f>
        <v>0</v>
      </c>
      <c r="C62" s="373">
        <f t="shared" si="12"/>
        <v>0</v>
      </c>
      <c r="D62" s="373">
        <f t="shared" si="15"/>
        <v>0</v>
      </c>
      <c r="E62" s="373">
        <f t="shared" si="16"/>
        <v>0</v>
      </c>
      <c r="F62" s="373">
        <f>E62</f>
        <v>0</v>
      </c>
      <c r="G62" s="373">
        <f>D62</f>
        <v>0</v>
      </c>
      <c r="H62" s="374"/>
      <c r="I62" s="377"/>
      <c r="J62" s="374"/>
      <c r="K62" s="377"/>
      <c r="M62" s="375"/>
      <c r="N62" s="373">
        <f t="shared" si="13"/>
        <v>0</v>
      </c>
      <c r="O62" s="373">
        <f t="shared" si="14"/>
        <v>0</v>
      </c>
    </row>
    <row r="63" spans="1:15">
      <c r="A63" s="375" t="s">
        <v>448</v>
      </c>
      <c r="B63" s="373">
        <f>Balances!H20</f>
        <v>0</v>
      </c>
      <c r="C63" s="373">
        <f t="shared" si="12"/>
        <v>0</v>
      </c>
      <c r="D63" s="373">
        <f>IF((B63-C63)&lt;0,C63-B63,0)</f>
        <v>0</v>
      </c>
      <c r="E63" s="373">
        <f>IF((B63-C63)&gt;0,B63-C63,0)</f>
        <v>0</v>
      </c>
      <c r="F63" s="373">
        <f>E63</f>
        <v>0</v>
      </c>
      <c r="G63" s="373">
        <f>D63</f>
        <v>0</v>
      </c>
      <c r="H63" s="374"/>
      <c r="I63" s="377"/>
      <c r="J63" s="374"/>
      <c r="K63" s="377"/>
      <c r="M63" s="375"/>
      <c r="N63" s="373">
        <f>IF((D63-E63+F63-G63+H63-J63)&gt;0,D63-E63+F63-G63+H63-J63,0)</f>
        <v>0</v>
      </c>
      <c r="O63" s="373">
        <f>IF((D63-E63+F63-G63+H63-J63)&lt;0,-(D63-E63+F63-G63+H63-J63),0)</f>
        <v>0</v>
      </c>
    </row>
    <row r="64" spans="1:15">
      <c r="A64" s="375" t="s">
        <v>450</v>
      </c>
      <c r="B64" s="373">
        <f>Balances!H21</f>
        <v>0</v>
      </c>
      <c r="C64" s="373">
        <f t="shared" si="12"/>
        <v>0</v>
      </c>
      <c r="D64" s="373">
        <f t="shared" si="15"/>
        <v>0</v>
      </c>
      <c r="E64" s="373">
        <f t="shared" si="16"/>
        <v>0</v>
      </c>
      <c r="F64" s="373">
        <f>G88+G63</f>
        <v>0</v>
      </c>
      <c r="G64" s="373">
        <f>F88+F63</f>
        <v>0</v>
      </c>
      <c r="H64" s="374"/>
      <c r="I64" s="377"/>
      <c r="J64" s="374"/>
      <c r="K64" s="377"/>
      <c r="M64" s="375"/>
      <c r="N64" s="373">
        <f t="shared" si="13"/>
        <v>0</v>
      </c>
      <c r="O64" s="373">
        <f t="shared" si="14"/>
        <v>0</v>
      </c>
    </row>
    <row r="65" spans="1:15">
      <c r="A65" s="375" t="s">
        <v>449</v>
      </c>
      <c r="B65" s="373">
        <f>Balances!H22</f>
        <v>0</v>
      </c>
      <c r="C65" s="373">
        <f t="shared" si="12"/>
        <v>0</v>
      </c>
      <c r="D65" s="373">
        <f>IF((B65-C65)&lt;0,C65-B65,0)</f>
        <v>0</v>
      </c>
      <c r="E65" s="373">
        <f>IF((B65-C65)&gt;0,B65-C65,0)</f>
        <v>0</v>
      </c>
      <c r="F65" s="373"/>
      <c r="G65" s="373"/>
      <c r="H65" s="374"/>
      <c r="I65" s="377"/>
      <c r="J65" s="374"/>
      <c r="K65" s="377"/>
      <c r="M65" s="375"/>
      <c r="N65" s="373">
        <f>IF((D65-E65+F65-G65+H65-J65)&gt;0,D65-E65+F65-G65+H65-J65,0)</f>
        <v>0</v>
      </c>
      <c r="O65" s="373">
        <f>IF((D65-E65+F65-G65+H65-J65)&lt;0,-(D65-E65+F65-G65+H65-J65),0)</f>
        <v>0</v>
      </c>
    </row>
    <row r="66" spans="1:15">
      <c r="A66" s="375" t="s">
        <v>153</v>
      </c>
      <c r="B66" s="373">
        <f>Balances!H23</f>
        <v>0</v>
      </c>
      <c r="C66" s="373">
        <f t="shared" si="12"/>
        <v>0</v>
      </c>
      <c r="D66" s="373">
        <f>IF((B66-C66)&lt;0,C66-B66,0)</f>
        <v>0</v>
      </c>
      <c r="E66" s="373">
        <f>IF((B66-C66)&gt;0,B66-C66,0)</f>
        <v>0</v>
      </c>
      <c r="F66" s="373"/>
      <c r="G66" s="373">
        <f>F79</f>
        <v>0</v>
      </c>
      <c r="H66" s="374"/>
      <c r="I66" s="377"/>
      <c r="J66" s="374"/>
      <c r="K66" s="377"/>
      <c r="M66" s="375"/>
      <c r="N66" s="373">
        <f t="shared" si="13"/>
        <v>0</v>
      </c>
      <c r="O66" s="373">
        <f t="shared" si="14"/>
        <v>0</v>
      </c>
    </row>
    <row r="67" spans="1:15">
      <c r="A67" s="375" t="s">
        <v>271</v>
      </c>
      <c r="B67" s="373">
        <f>Balances!H25</f>
        <v>0</v>
      </c>
      <c r="C67" s="373">
        <f t="shared" ref="C67:C74" si="17">B23</f>
        <v>0</v>
      </c>
      <c r="D67" s="373">
        <f t="shared" si="15"/>
        <v>0</v>
      </c>
      <c r="E67" s="373">
        <f t="shared" si="16"/>
        <v>0</v>
      </c>
      <c r="F67" s="373"/>
      <c r="G67" s="373"/>
      <c r="H67" s="374"/>
      <c r="I67" s="377"/>
      <c r="J67" s="374"/>
      <c r="K67" s="377"/>
      <c r="M67" s="375"/>
      <c r="N67" s="373">
        <f t="shared" si="13"/>
        <v>0</v>
      </c>
      <c r="O67" s="373">
        <f t="shared" si="14"/>
        <v>0</v>
      </c>
    </row>
    <row r="68" spans="1:15">
      <c r="A68" s="375" t="s">
        <v>272</v>
      </c>
      <c r="B68" s="373">
        <f>Balances!H26</f>
        <v>0</v>
      </c>
      <c r="C68" s="373">
        <f t="shared" si="17"/>
        <v>0</v>
      </c>
      <c r="D68" s="373">
        <f>IF((B68-C68)&lt;0,C68-B68,0)</f>
        <v>0</v>
      </c>
      <c r="E68" s="373">
        <f>IF((B68-C68)&gt;0,B68-C68,0)</f>
        <v>0</v>
      </c>
      <c r="F68" s="373"/>
      <c r="G68" s="373"/>
      <c r="H68" s="374"/>
      <c r="I68" s="377"/>
      <c r="J68" s="374"/>
      <c r="K68" s="377"/>
      <c r="M68" s="375"/>
      <c r="N68" s="373">
        <f t="shared" si="13"/>
        <v>0</v>
      </c>
      <c r="O68" s="373">
        <f t="shared" si="14"/>
        <v>0</v>
      </c>
    </row>
    <row r="69" spans="1:15">
      <c r="A69" s="375" t="s">
        <v>329</v>
      </c>
      <c r="B69" s="373">
        <f>Balances!H28</f>
        <v>0</v>
      </c>
      <c r="C69" s="373">
        <f t="shared" si="17"/>
        <v>0</v>
      </c>
      <c r="D69" s="373">
        <f t="shared" si="15"/>
        <v>0</v>
      </c>
      <c r="E69" s="373">
        <f t="shared" si="16"/>
        <v>0</v>
      </c>
      <c r="F69" s="373"/>
      <c r="G69" s="373"/>
      <c r="H69" s="374"/>
      <c r="I69" s="377"/>
      <c r="J69" s="374"/>
      <c r="K69" s="377"/>
      <c r="L69" s="374">
        <f t="shared" ref="L69:L74" si="18">IF((D69-E69+F69-G69+H69-J69)&gt;0,D69-E69+F69-G69+H69-J69,0)</f>
        <v>0</v>
      </c>
      <c r="M69" s="376">
        <f t="shared" ref="M69:M74" si="19">IF((D69-E69+F69-G69+H69-J69)&lt;0,-(D69-E69+F69-G69+H69-J69),0)</f>
        <v>0</v>
      </c>
      <c r="N69" s="373"/>
      <c r="O69" s="373"/>
    </row>
    <row r="70" spans="1:15">
      <c r="A70" s="375" t="str">
        <f>A26</f>
        <v>Acreedores comerciales</v>
      </c>
      <c r="B70" s="373">
        <f>Balances!H29</f>
        <v>0</v>
      </c>
      <c r="C70" s="373">
        <f t="shared" si="17"/>
        <v>0</v>
      </c>
      <c r="D70" s="373">
        <f>IF((B70-C70)&lt;0,C70-B70,0)</f>
        <v>0</v>
      </c>
      <c r="E70" s="373">
        <f>IF((B70-C70)&gt;0,B70-C70,0)</f>
        <v>0</v>
      </c>
      <c r="F70" s="373"/>
      <c r="G70" s="373"/>
      <c r="H70" s="374">
        <f>J81</f>
        <v>0</v>
      </c>
      <c r="I70" s="394">
        <v>-2</v>
      </c>
      <c r="J70" s="374"/>
      <c r="K70" s="377"/>
      <c r="L70" s="373">
        <f t="shared" si="18"/>
        <v>0</v>
      </c>
      <c r="M70" s="373">
        <f t="shared" si="19"/>
        <v>0</v>
      </c>
      <c r="N70" s="373"/>
      <c r="O70" s="373"/>
    </row>
    <row r="71" spans="1:15">
      <c r="A71" s="375" t="s">
        <v>55</v>
      </c>
      <c r="B71" s="373">
        <f>Balances!H30</f>
        <v>0</v>
      </c>
      <c r="C71" s="373">
        <f t="shared" si="17"/>
        <v>0</v>
      </c>
      <c r="D71" s="373">
        <f>IF((B71-C71)&lt;0,C71-B71,0)</f>
        <v>0</v>
      </c>
      <c r="E71" s="373">
        <f>IF((B71-C71)&gt;0,B71-C71,0)</f>
        <v>0</v>
      </c>
      <c r="F71" s="373"/>
      <c r="G71" s="373"/>
      <c r="H71" s="364">
        <f>J87</f>
        <v>0</v>
      </c>
      <c r="I71" s="394">
        <v>-5</v>
      </c>
      <c r="J71" s="374"/>
      <c r="K71" s="377"/>
      <c r="L71" s="373"/>
      <c r="M71" s="373"/>
      <c r="N71" s="373">
        <f>IF((D71-E71+F71-G71+H71-J71)&gt;0,D71-E71+F71-G71+H71-J71,0)</f>
        <v>0</v>
      </c>
      <c r="O71" s="373">
        <f>IF((D71-E71+F71-G71+H71-J71)&lt;0,-(D71-E71+F71-G71+H71-J71),0)</f>
        <v>0</v>
      </c>
    </row>
    <row r="72" spans="1:15">
      <c r="A72" s="375" t="str">
        <f>A28</f>
        <v>H.P. acreedora por distintos conceptos</v>
      </c>
      <c r="B72" s="373">
        <f>Balances!H31</f>
        <v>0</v>
      </c>
      <c r="C72" s="373">
        <f t="shared" si="17"/>
        <v>0</v>
      </c>
      <c r="D72" s="373">
        <f>IF((B72-C72)&lt;0,C72-B72,0)</f>
        <v>0</v>
      </c>
      <c r="E72" s="373">
        <f>IF((B72-C72)&gt;0,B72-C72,0)</f>
        <v>0</v>
      </c>
      <c r="F72" s="373">
        <f>G56</f>
        <v>0</v>
      </c>
      <c r="G72" s="373"/>
      <c r="H72" s="364">
        <f>J86+Circulantes!I35</f>
        <v>0</v>
      </c>
      <c r="I72" s="394">
        <v>-3</v>
      </c>
      <c r="J72" s="374"/>
      <c r="K72" s="377"/>
      <c r="L72" s="373">
        <f t="shared" si="18"/>
        <v>0</v>
      </c>
      <c r="M72" s="373">
        <f t="shared" si="19"/>
        <v>0</v>
      </c>
      <c r="N72" s="373"/>
      <c r="O72" s="373"/>
    </row>
    <row r="73" spans="1:15">
      <c r="A73" s="375" t="str">
        <f>A29</f>
        <v>Organismos de la S.S. acreedores</v>
      </c>
      <c r="B73" s="373">
        <f>Balances!H32</f>
        <v>0</v>
      </c>
      <c r="C73" s="373">
        <f t="shared" si="17"/>
        <v>0</v>
      </c>
      <c r="D73" s="373">
        <f>IF((B73-C73)&lt;0,C73-B73,0)</f>
        <v>0</v>
      </c>
      <c r="E73" s="373">
        <f>IF((B73-C73)&gt;0,B73-C73,0)</f>
        <v>0</v>
      </c>
      <c r="F73" s="373"/>
      <c r="G73" s="373"/>
      <c r="H73" s="364">
        <f>Circulantes!I36</f>
        <v>0</v>
      </c>
      <c r="I73" s="394">
        <v>-4</v>
      </c>
      <c r="J73" s="374"/>
      <c r="K73" s="377"/>
      <c r="L73" s="373">
        <f t="shared" si="18"/>
        <v>0</v>
      </c>
      <c r="M73" s="373">
        <f t="shared" si="19"/>
        <v>0</v>
      </c>
      <c r="N73" s="373"/>
      <c r="O73" s="373"/>
    </row>
    <row r="74" spans="1:15">
      <c r="A74" s="378" t="str">
        <f>A30</f>
        <v>Otras cuentas a pagar no financieras</v>
      </c>
      <c r="B74" s="385">
        <f>Balances!H33</f>
        <v>0</v>
      </c>
      <c r="C74" s="381">
        <f t="shared" si="17"/>
        <v>0</v>
      </c>
      <c r="D74" s="385">
        <f>IF((B74-C74)&lt;0,C74-B74,0)</f>
        <v>0</v>
      </c>
      <c r="E74" s="381">
        <f>IF((B74-C74)&gt;0,B74-C74,0)</f>
        <v>0</v>
      </c>
      <c r="F74" s="381"/>
      <c r="G74" s="381"/>
      <c r="H74" s="382"/>
      <c r="I74" s="395"/>
      <c r="J74" s="382"/>
      <c r="K74" s="393"/>
      <c r="L74" s="381">
        <f t="shared" si="18"/>
        <v>0</v>
      </c>
      <c r="M74" s="381">
        <f t="shared" si="19"/>
        <v>0</v>
      </c>
      <c r="N74" s="381"/>
      <c r="O74" s="381"/>
    </row>
    <row r="75" spans="1:15">
      <c r="A75" s="375" t="s">
        <v>115</v>
      </c>
      <c r="B75" s="373"/>
      <c r="C75" s="373"/>
      <c r="D75" s="373"/>
      <c r="E75" s="373">
        <f>Resultados!F5</f>
        <v>0</v>
      </c>
      <c r="F75" s="373"/>
      <c r="G75" s="373"/>
      <c r="H75" s="374">
        <f>E75</f>
        <v>0</v>
      </c>
      <c r="I75" s="377">
        <v>-1</v>
      </c>
      <c r="J75" s="374"/>
      <c r="K75" s="377"/>
      <c r="L75" s="373">
        <f t="shared" ref="L75:L83" si="20">IF((D75-E75+F75-G75+H75-J75)&gt;0,D75-E75+F75-G75+H75-J75,0)</f>
        <v>0</v>
      </c>
      <c r="M75" s="373">
        <f t="shared" ref="M75:M83" si="21">IF((D75-E75+F75-G75+H75-J75)&lt;0,-(D75-E75+F75-G75+H75-J75),0)</f>
        <v>0</v>
      </c>
      <c r="N75" s="373"/>
      <c r="O75" s="373"/>
    </row>
    <row r="76" spans="1:15">
      <c r="A76" s="375" t="s">
        <v>42</v>
      </c>
      <c r="B76" s="373"/>
      <c r="C76" s="373"/>
      <c r="D76" s="373"/>
      <c r="E76" s="373">
        <f>Resultados!F6</f>
        <v>0</v>
      </c>
      <c r="F76" s="373">
        <f>E76</f>
        <v>0</v>
      </c>
      <c r="G76" s="373">
        <f>D76</f>
        <v>0</v>
      </c>
      <c r="H76" s="374"/>
      <c r="I76" s="377"/>
      <c r="J76" s="374"/>
      <c r="K76" s="377"/>
      <c r="L76" s="373">
        <f>IF((D76-E76+F76-G76+H76-J76)&gt;0,D76-E76+F76-G76+H76-J76,0)</f>
        <v>0</v>
      </c>
      <c r="M76" s="373">
        <f>IF((D76-E76+F76-G76+H76-J76)&lt;0,-(D76-E76+F76-G76+H76-J76),0)</f>
        <v>0</v>
      </c>
      <c r="N76" s="373"/>
      <c r="O76" s="373"/>
    </row>
    <row r="77" spans="1:15">
      <c r="A77" s="654" t="s">
        <v>298</v>
      </c>
      <c r="B77" s="373"/>
      <c r="C77" s="373"/>
      <c r="D77" s="373"/>
      <c r="E77" s="373">
        <f>Resultados!F7</f>
        <v>0</v>
      </c>
      <c r="F77" s="373"/>
      <c r="G77" s="373"/>
      <c r="H77" s="374"/>
      <c r="I77" s="377"/>
      <c r="J77" s="374"/>
      <c r="K77" s="377"/>
      <c r="L77" s="373">
        <f t="shared" si="20"/>
        <v>0</v>
      </c>
      <c r="M77" s="373">
        <f t="shared" si="21"/>
        <v>0</v>
      </c>
      <c r="N77" s="373"/>
      <c r="O77" s="373"/>
    </row>
    <row r="78" spans="1:15">
      <c r="A78" s="654" t="s">
        <v>235</v>
      </c>
      <c r="B78" s="373"/>
      <c r="C78" s="373"/>
      <c r="D78" s="373"/>
      <c r="E78" s="373">
        <f>Resultados!F8+Resultados!F9</f>
        <v>0</v>
      </c>
      <c r="F78" s="373">
        <f>E78</f>
        <v>0</v>
      </c>
      <c r="G78" s="373"/>
      <c r="H78" s="374"/>
      <c r="I78" s="377"/>
      <c r="J78" s="374"/>
      <c r="K78" s="377"/>
      <c r="L78" s="373"/>
      <c r="M78" s="373"/>
      <c r="N78" s="373"/>
      <c r="O78" s="373"/>
    </row>
    <row r="79" spans="1:15">
      <c r="A79" s="654" t="s">
        <v>245</v>
      </c>
      <c r="B79" s="373"/>
      <c r="C79" s="373"/>
      <c r="D79" s="373"/>
      <c r="E79" s="373">
        <f>Resultados!F10</f>
        <v>0</v>
      </c>
      <c r="F79" s="373">
        <f>E79</f>
        <v>0</v>
      </c>
      <c r="G79" s="373"/>
      <c r="H79" s="374"/>
      <c r="I79" s="377"/>
      <c r="J79" s="374"/>
      <c r="K79" s="377"/>
      <c r="L79" s="373"/>
      <c r="M79" s="373"/>
      <c r="N79" s="373"/>
      <c r="O79" s="373"/>
    </row>
    <row r="80" spans="1:15">
      <c r="A80" s="654" t="s">
        <v>165</v>
      </c>
      <c r="B80" s="373"/>
      <c r="C80" s="373"/>
      <c r="D80" s="373"/>
      <c r="E80" s="373">
        <f>Resultados!F11</f>
        <v>0</v>
      </c>
      <c r="F80" s="373"/>
      <c r="G80" s="373"/>
      <c r="H80" s="374"/>
      <c r="I80" s="377"/>
      <c r="J80" s="374"/>
      <c r="K80" s="377"/>
      <c r="L80" s="373">
        <f>IF((D80-E80+F80-G80+H80-J80)&gt;0,D80-E80+F80-G80+H80-J80,0)</f>
        <v>0</v>
      </c>
      <c r="M80" s="373">
        <f>IF((D80-E80+F80-G80+H80-J80)&lt;0,-(D80-E80+F80-G80+H80-J80),0)</f>
        <v>0</v>
      </c>
      <c r="N80" s="373"/>
      <c r="O80" s="373"/>
    </row>
    <row r="81" spans="1:15">
      <c r="A81" s="375" t="s">
        <v>116</v>
      </c>
      <c r="B81" s="373"/>
      <c r="C81" s="373"/>
      <c r="D81" s="373">
        <f>-SUM(Resultados!G12:G13)</f>
        <v>0</v>
      </c>
      <c r="E81" s="373"/>
      <c r="F81" s="373"/>
      <c r="G81" s="373"/>
      <c r="H81" s="374"/>
      <c r="I81" s="377"/>
      <c r="J81" s="374">
        <f>D81</f>
        <v>0</v>
      </c>
      <c r="K81" s="377">
        <v>-2</v>
      </c>
      <c r="L81" s="373">
        <f t="shared" si="20"/>
        <v>0</v>
      </c>
      <c r="M81" s="373">
        <f t="shared" si="21"/>
        <v>0</v>
      </c>
      <c r="N81" s="373"/>
      <c r="O81" s="373"/>
    </row>
    <row r="82" spans="1:15">
      <c r="A82" s="375" t="s">
        <v>117</v>
      </c>
      <c r="B82" s="373"/>
      <c r="C82" s="373"/>
      <c r="D82" s="373">
        <f>'G. Fijos'!D17</f>
        <v>0</v>
      </c>
      <c r="E82" s="373"/>
      <c r="F82" s="373"/>
      <c r="G82" s="373"/>
      <c r="H82" s="374"/>
      <c r="I82" s="377"/>
      <c r="J82" s="374">
        <f>Circulantes!I35+Circulantes!I36</f>
        <v>0</v>
      </c>
      <c r="K82" s="377">
        <v>-3</v>
      </c>
      <c r="L82" s="373">
        <f t="shared" si="20"/>
        <v>0</v>
      </c>
      <c r="M82" s="373">
        <f t="shared" si="21"/>
        <v>0</v>
      </c>
      <c r="N82" s="373"/>
      <c r="O82" s="373"/>
    </row>
    <row r="83" spans="1:15">
      <c r="A83" s="375" t="s">
        <v>118</v>
      </c>
      <c r="B83" s="373"/>
      <c r="C83" s="373"/>
      <c r="D83" s="373">
        <f>'G. Fijos'!D18</f>
        <v>0</v>
      </c>
      <c r="E83" s="373"/>
      <c r="F83" s="373"/>
      <c r="G83" s="373">
        <f>D83</f>
        <v>0</v>
      </c>
      <c r="H83" s="374"/>
      <c r="I83" s="377"/>
      <c r="J83" s="374"/>
      <c r="K83" s="377"/>
      <c r="L83" s="373">
        <f t="shared" si="20"/>
        <v>0</v>
      </c>
      <c r="M83" s="373">
        <f t="shared" si="21"/>
        <v>0</v>
      </c>
      <c r="N83" s="373"/>
      <c r="O83" s="373"/>
    </row>
    <row r="84" spans="1:15">
      <c r="A84" s="375" t="s">
        <v>119</v>
      </c>
      <c r="B84" s="373"/>
      <c r="C84" s="373"/>
      <c r="D84" s="373">
        <f>'G. Fijos'!D5</f>
        <v>0</v>
      </c>
      <c r="E84" s="373"/>
      <c r="F84" s="373"/>
      <c r="G84" s="373"/>
      <c r="H84" s="374"/>
      <c r="I84" s="377"/>
      <c r="J84" s="374"/>
      <c r="K84" s="377"/>
      <c r="L84" s="373">
        <f>IF((D84-E84+F84-G84+H84-J84)&gt;0,D84-E84+F84-G84+H84-J84,0)</f>
        <v>0</v>
      </c>
      <c r="M84" s="373">
        <f>IF((D84-E84+F84-G84+H84-J84)&lt;0,-(D84-E84+F84-G84+H84-J84),0)</f>
        <v>0</v>
      </c>
      <c r="N84" s="373"/>
      <c r="O84" s="373"/>
    </row>
    <row r="85" spans="1:15">
      <c r="A85" s="375" t="s">
        <v>120</v>
      </c>
      <c r="B85" s="373"/>
      <c r="C85" s="373"/>
      <c r="D85" s="373">
        <f>'G. Fijos'!D21</f>
        <v>0</v>
      </c>
      <c r="E85" s="373"/>
      <c r="F85" s="373"/>
      <c r="G85" s="373"/>
      <c r="H85" s="374"/>
      <c r="I85" s="377"/>
      <c r="J85" s="374"/>
      <c r="K85" s="377"/>
      <c r="L85" s="373">
        <f>IF((D85-E85+F85-G85+H85-J85)&gt;0,D85-E85+F85-G85+H85-J85,0)</f>
        <v>0</v>
      </c>
      <c r="M85" s="373">
        <f>IF((D85-E85+F85-G85+H85-J85)&lt;0,-(D85-E85+F85-G85+H85-J85),0)</f>
        <v>0</v>
      </c>
      <c r="N85" s="373"/>
      <c r="O85" s="373"/>
    </row>
    <row r="86" spans="1:15">
      <c r="A86" s="375" t="s">
        <v>45</v>
      </c>
      <c r="B86" s="373"/>
      <c r="C86" s="373"/>
      <c r="D86" s="373">
        <f>-Resultados!G23</f>
        <v>0</v>
      </c>
      <c r="E86" s="373"/>
      <c r="F86" s="373"/>
      <c r="G86" s="373"/>
      <c r="H86" s="374"/>
      <c r="I86" s="377"/>
      <c r="J86" s="374">
        <f>D86</f>
        <v>0</v>
      </c>
      <c r="K86" s="377">
        <v>-3</v>
      </c>
      <c r="L86" s="373">
        <f>IF((D86-E86+F86-G86+H86-J86)&gt;0,D86-E86+F86-G86+H86-J86,0)</f>
        <v>0</v>
      </c>
      <c r="M86" s="373">
        <f>IF((D86-E86+F86-G86+H86-J86)&lt;0,-(D86-E86+F86-G86+H86-J86),0)</f>
        <v>0</v>
      </c>
      <c r="N86" s="373"/>
      <c r="O86" s="373"/>
    </row>
    <row r="87" spans="1:15">
      <c r="A87" s="375" t="s">
        <v>55</v>
      </c>
      <c r="B87" s="373"/>
      <c r="C87" s="373"/>
      <c r="D87" s="373">
        <f>-Resultados!G25</f>
        <v>0</v>
      </c>
      <c r="E87" s="373"/>
      <c r="F87" s="373"/>
      <c r="G87" s="373"/>
      <c r="H87" s="374"/>
      <c r="I87" s="377"/>
      <c r="J87" s="374">
        <f>D87</f>
        <v>0</v>
      </c>
      <c r="K87" s="377">
        <v>-5</v>
      </c>
      <c r="L87" s="373">
        <f>IF((D87-E87+F87-G87+H87-J87)&gt;0,D87-E87+F87-G87+H87-J87,0)</f>
        <v>0</v>
      </c>
      <c r="M87" s="373">
        <f>IF((D87-E87+F87-G87+H87-J87)&lt;0,-(D87-E87+F87-G87+H87-J87),0)</f>
        <v>0</v>
      </c>
      <c r="N87" s="373"/>
      <c r="O87" s="373"/>
    </row>
    <row r="88" spans="1:15">
      <c r="A88" s="378" t="s">
        <v>121</v>
      </c>
      <c r="B88" s="381"/>
      <c r="C88" s="381"/>
      <c r="D88" s="373">
        <f>IF(SUM(E75:E80)-SUM(D81:D87)&gt;0,SUM(E75:E80)-SUM(D81:D87),0)</f>
        <v>0</v>
      </c>
      <c r="E88" s="373">
        <f>IF(SUM(D81:D87)-SUM(E75:E80)&gt;0,SUM(D81:D87)-SUM(E75:E80),0)</f>
        <v>0</v>
      </c>
      <c r="F88" s="381">
        <f>E88</f>
        <v>0</v>
      </c>
      <c r="G88" s="381">
        <f>D88</f>
        <v>0</v>
      </c>
      <c r="H88" s="382"/>
      <c r="I88" s="393"/>
      <c r="J88" s="382"/>
      <c r="K88" s="377"/>
      <c r="L88" s="373">
        <f>IF((D88-E88+F88-G88+H88-J88)&gt;0,D88-E88+F88-G88+H88-J88,0)</f>
        <v>0</v>
      </c>
      <c r="M88" s="373">
        <f>IF((D88-E88+F88-G88+H88-J88)&lt;0,-(D88-E88+F88-G88+H88-J88),0)</f>
        <v>0</v>
      </c>
      <c r="N88" s="381"/>
      <c r="O88" s="381"/>
    </row>
    <row r="89" spans="1:15">
      <c r="A89" s="396" t="s">
        <v>122</v>
      </c>
      <c r="B89" s="379">
        <f>SUM(B50:B58)-SUM(B60:B74)</f>
        <v>0</v>
      </c>
      <c r="C89" s="379">
        <f>SUM(C50:C58)-SUM(C60:C74)</f>
        <v>0</v>
      </c>
      <c r="D89" s="379">
        <f>SUM(D50:D88)</f>
        <v>0</v>
      </c>
      <c r="E89" s="379">
        <f t="shared" ref="E89:M89" si="22">SUM(E50:E88)</f>
        <v>0</v>
      </c>
      <c r="F89" s="379">
        <f t="shared" si="22"/>
        <v>0</v>
      </c>
      <c r="G89" s="379">
        <f t="shared" si="22"/>
        <v>0</v>
      </c>
      <c r="H89" s="397">
        <f t="shared" si="22"/>
        <v>0</v>
      </c>
      <c r="I89" s="398"/>
      <c r="J89" s="397">
        <f t="shared" si="22"/>
        <v>0</v>
      </c>
      <c r="K89" s="398"/>
      <c r="L89" s="379">
        <f t="shared" si="22"/>
        <v>0</v>
      </c>
      <c r="M89" s="379">
        <f t="shared" si="22"/>
        <v>0</v>
      </c>
      <c r="N89" s="379">
        <f>SUM(N50:N88)</f>
        <v>0</v>
      </c>
      <c r="O89" s="379">
        <f>SUM(O50:O88)</f>
        <v>0</v>
      </c>
    </row>
    <row r="90" spans="1:15" ht="8.25" customHeight="1">
      <c r="O90" s="365"/>
    </row>
    <row r="91" spans="1:15" s="369" customFormat="1">
      <c r="A91" s="1081" t="s">
        <v>102</v>
      </c>
      <c r="B91" s="1083" t="s">
        <v>97</v>
      </c>
      <c r="C91" s="1083" t="s">
        <v>96</v>
      </c>
      <c r="D91" s="366" t="s">
        <v>104</v>
      </c>
      <c r="E91" s="367"/>
      <c r="F91" s="368" t="s">
        <v>105</v>
      </c>
      <c r="G91" s="368"/>
      <c r="H91" s="366" t="s">
        <v>106</v>
      </c>
      <c r="I91" s="368"/>
      <c r="J91" s="367"/>
      <c r="K91" s="368"/>
      <c r="L91" s="366" t="s">
        <v>107</v>
      </c>
      <c r="M91" s="367"/>
      <c r="N91" s="366" t="s">
        <v>108</v>
      </c>
      <c r="O91" s="367"/>
    </row>
    <row r="92" spans="1:15" s="369" customFormat="1">
      <c r="A92" s="1082"/>
      <c r="B92" s="1084"/>
      <c r="C92" s="1084"/>
      <c r="D92" s="370" t="s">
        <v>323</v>
      </c>
      <c r="E92" s="370" t="s">
        <v>324</v>
      </c>
      <c r="F92" s="370" t="s">
        <v>109</v>
      </c>
      <c r="G92" s="370" t="s">
        <v>110</v>
      </c>
      <c r="H92" s="366" t="s">
        <v>109</v>
      </c>
      <c r="I92" s="367"/>
      <c r="J92" s="366" t="s">
        <v>110</v>
      </c>
      <c r="K92" s="367"/>
      <c r="L92" s="370" t="s">
        <v>111</v>
      </c>
      <c r="M92" s="370" t="s">
        <v>112</v>
      </c>
      <c r="N92" s="370" t="s">
        <v>113</v>
      </c>
      <c r="O92" s="370" t="s">
        <v>112</v>
      </c>
    </row>
    <row r="93" spans="1:15">
      <c r="A93" s="371" t="s">
        <v>69</v>
      </c>
      <c r="B93" s="372"/>
      <c r="C93" s="373"/>
      <c r="D93" s="373"/>
      <c r="E93" s="373"/>
      <c r="F93" s="373"/>
      <c r="G93" s="373"/>
      <c r="H93" s="374"/>
      <c r="I93" s="373"/>
      <c r="J93" s="374"/>
      <c r="K93" s="373"/>
      <c r="L93" s="373"/>
      <c r="M93" s="373"/>
      <c r="N93" s="373"/>
      <c r="O93" s="373"/>
    </row>
    <row r="94" spans="1:15">
      <c r="A94" s="375" t="s">
        <v>166</v>
      </c>
      <c r="B94" s="376">
        <f>Balances!J4+Balances!J6</f>
        <v>0</v>
      </c>
      <c r="C94" s="373">
        <f t="shared" ref="C94:C102" si="23">B50</f>
        <v>0</v>
      </c>
      <c r="D94" s="373">
        <f>IF((B94-C94)&gt;0,B94-C94,0)</f>
        <v>0</v>
      </c>
      <c r="E94" s="373">
        <f>IF((B94-C94)&lt;0,C94-B94,0)</f>
        <v>0</v>
      </c>
      <c r="F94" s="373"/>
      <c r="G94" s="373">
        <f>F122</f>
        <v>0</v>
      </c>
      <c r="H94" s="374"/>
      <c r="I94" s="373"/>
      <c r="J94" s="374"/>
      <c r="K94" s="373"/>
      <c r="M94" s="375"/>
      <c r="N94" s="373">
        <f>IF((D94-E94+F94-G94+H94-J94)&gt;0,D94-E94+F94-G94+H94-J94,0)</f>
        <v>0</v>
      </c>
      <c r="O94" s="373">
        <f>IF((D94-E94+F94-G94+H94-J94)&lt;0,-(D94-E94+F94-G94+H94-J94),0)</f>
        <v>0</v>
      </c>
    </row>
    <row r="95" spans="1:15">
      <c r="A95" s="375" t="s">
        <v>114</v>
      </c>
      <c r="B95" s="376">
        <f>Balances!J5+Balances!J7</f>
        <v>0</v>
      </c>
      <c r="C95" s="373">
        <f t="shared" si="23"/>
        <v>0</v>
      </c>
      <c r="D95" s="373">
        <f t="shared" ref="D95:D102" si="24">IF((B95-C95)&gt;0,B95-C95,0)</f>
        <v>0</v>
      </c>
      <c r="E95" s="373">
        <f t="shared" ref="E95:E102" si="25">IF((B95-C95)&lt;0,C95-B95,0)</f>
        <v>0</v>
      </c>
      <c r="F95" s="373">
        <f>G127</f>
        <v>0</v>
      </c>
      <c r="G95" s="373"/>
      <c r="H95" s="374"/>
      <c r="I95" s="373"/>
      <c r="J95" s="374"/>
      <c r="K95" s="373"/>
      <c r="M95" s="375"/>
      <c r="N95" s="373">
        <f>IF((D95-E95+F95-G95+H95-J95)&gt;0,D95-E95+F95-G95+H95-J95,0)</f>
        <v>0</v>
      </c>
      <c r="O95" s="373">
        <f>IF((D95-E95+F95-G95+H95-J95)&lt;0,-(D95-E95+F95-G95+H95-J95),0)</f>
        <v>0</v>
      </c>
    </row>
    <row r="96" spans="1:15">
      <c r="A96" s="375" t="s">
        <v>167</v>
      </c>
      <c r="B96" s="376">
        <f>Balances!J8</f>
        <v>0</v>
      </c>
      <c r="C96" s="373">
        <f t="shared" si="23"/>
        <v>0</v>
      </c>
      <c r="D96" s="373">
        <f t="shared" si="24"/>
        <v>0</v>
      </c>
      <c r="E96" s="373">
        <f t="shared" si="25"/>
        <v>0</v>
      </c>
      <c r="F96" s="373"/>
      <c r="G96" s="373"/>
      <c r="H96" s="374"/>
      <c r="I96" s="373"/>
      <c r="J96" s="374"/>
      <c r="K96" s="373"/>
      <c r="M96" s="375"/>
      <c r="N96" s="373">
        <f>IF((D96-E96+F96-G96+H96-J96)&gt;0,D96-E96+F96-G96+H96-J96,0)</f>
        <v>0</v>
      </c>
      <c r="O96" s="373">
        <f>IF((D96-E96+F96-G96+H96-J96)&lt;0,-(D96-E96+F96-G96+H96-J96),0)</f>
        <v>0</v>
      </c>
    </row>
    <row r="97" spans="1:15">
      <c r="A97" s="375" t="s">
        <v>467</v>
      </c>
      <c r="B97" s="376">
        <f>Balances!J9</f>
        <v>0</v>
      </c>
      <c r="C97" s="373">
        <f t="shared" si="23"/>
        <v>0</v>
      </c>
      <c r="D97" s="373">
        <f>IF((B97-C97)&gt;0,B97-C97,0)</f>
        <v>0</v>
      </c>
      <c r="E97" s="373">
        <f>IF((B97-C97)&lt;0,C97-B97,0)</f>
        <v>0</v>
      </c>
      <c r="F97" s="373"/>
      <c r="G97" s="373"/>
      <c r="H97" s="374"/>
      <c r="I97" s="373"/>
      <c r="J97" s="374"/>
      <c r="K97" s="373"/>
      <c r="M97" s="375"/>
      <c r="N97" s="373"/>
      <c r="O97" s="373"/>
    </row>
    <row r="98" spans="1:15">
      <c r="A98" s="375" t="s">
        <v>319</v>
      </c>
      <c r="B98" s="376">
        <f>Balances!J11</f>
        <v>0</v>
      </c>
      <c r="C98" s="373">
        <f t="shared" si="23"/>
        <v>0</v>
      </c>
      <c r="D98" s="373">
        <f t="shared" si="24"/>
        <v>0</v>
      </c>
      <c r="E98" s="373">
        <f t="shared" si="25"/>
        <v>0</v>
      </c>
      <c r="F98" s="373"/>
      <c r="G98" s="373">
        <f>D98</f>
        <v>0</v>
      </c>
      <c r="H98" s="374"/>
      <c r="I98" s="373"/>
      <c r="J98" s="374"/>
      <c r="K98" s="373"/>
      <c r="L98" s="374">
        <f>IF((D98-E98+F98-G98+H98-J98)&gt;0,D98-E98+F98-G98+H98-J98,0)</f>
        <v>0</v>
      </c>
      <c r="M98" s="376">
        <f>IF((D98-E98+F98-G98+H98-J98)&lt;0,-(D98-E98+F98-G98+H98-J98),0)</f>
        <v>0</v>
      </c>
      <c r="N98" s="373"/>
      <c r="O98" s="373"/>
    </row>
    <row r="99" spans="1:15">
      <c r="A99" s="375" t="s">
        <v>52</v>
      </c>
      <c r="B99" s="376">
        <f>Balances!J12</f>
        <v>0</v>
      </c>
      <c r="C99" s="373">
        <f t="shared" si="23"/>
        <v>0</v>
      </c>
      <c r="D99" s="373">
        <f t="shared" si="24"/>
        <v>0</v>
      </c>
      <c r="E99" s="373">
        <f t="shared" si="25"/>
        <v>0</v>
      </c>
      <c r="F99" s="373"/>
      <c r="G99" s="373"/>
      <c r="H99" s="374"/>
      <c r="I99" s="373"/>
      <c r="J99" s="374">
        <f>H119</f>
        <v>0</v>
      </c>
      <c r="K99" s="377">
        <v>-1</v>
      </c>
      <c r="L99" s="374">
        <f>IF((D99-E99+F99-G99+H99-J99)&gt;0,D99-E99+F99-G99+H99-J99,0)</f>
        <v>0</v>
      </c>
      <c r="M99" s="376">
        <f>IF((D99-E99+F99-G99+H99-J99)&lt;0,-(D99-E99+F99-G99+H99-J99),0)</f>
        <v>0</v>
      </c>
      <c r="N99" s="373"/>
      <c r="O99" s="373"/>
    </row>
    <row r="100" spans="1:15">
      <c r="A100" s="171" t="s">
        <v>240</v>
      </c>
      <c r="B100" s="376">
        <f>Circulantes!N25</f>
        <v>0</v>
      </c>
      <c r="C100" s="373">
        <f t="shared" si="23"/>
        <v>0</v>
      </c>
      <c r="D100" s="373">
        <f>IF((B100-C100)&gt;0,B100-C100,0)</f>
        <v>0</v>
      </c>
      <c r="E100" s="373">
        <f>IF((B100-C100)&lt;0,C100-B100,0)</f>
        <v>0</v>
      </c>
      <c r="F100" s="373"/>
      <c r="G100" s="373">
        <f>D100</f>
        <v>0</v>
      </c>
      <c r="H100" s="374"/>
      <c r="I100" s="373"/>
      <c r="J100" s="374"/>
      <c r="K100" s="377"/>
      <c r="L100" s="374">
        <f>IF((D100-E100+F100-G100+H100-J100)&gt;0,D100-E100+F100-G100+H100-J100,0)</f>
        <v>0</v>
      </c>
      <c r="M100" s="376">
        <f>IF((D100-E100+F100-G100+H100-J100)&lt;0,-(D100-E100+F100-G100+H100-J100),0)</f>
        <v>0</v>
      </c>
      <c r="N100" s="373"/>
      <c r="O100" s="373"/>
    </row>
    <row r="101" spans="1:15">
      <c r="A101" s="375" t="s">
        <v>173</v>
      </c>
      <c r="B101" s="376">
        <f>Circulantes!N26</f>
        <v>0</v>
      </c>
      <c r="C101" s="373">
        <f t="shared" si="23"/>
        <v>0</v>
      </c>
      <c r="D101" s="373">
        <f t="shared" si="24"/>
        <v>0</v>
      </c>
      <c r="E101" s="373">
        <f t="shared" si="25"/>
        <v>0</v>
      </c>
      <c r="F101" s="373"/>
      <c r="G101" s="373"/>
      <c r="H101" s="374"/>
      <c r="I101" s="373"/>
      <c r="J101" s="374"/>
      <c r="K101" s="377"/>
      <c r="L101" s="374">
        <f>IF((D101-E101+F101-G101+H101-J101)&gt;0,D101-E101+F101-G101+H101-J101,0)</f>
        <v>0</v>
      </c>
      <c r="M101" s="376">
        <f>IF((D101-E101+F101-G101+H101-J101)&lt;0,-(D101-E101+F101-G101+H101-J101),0)</f>
        <v>0</v>
      </c>
      <c r="N101" s="373"/>
      <c r="O101" s="373"/>
    </row>
    <row r="102" spans="1:15">
      <c r="A102" s="378" t="s">
        <v>53</v>
      </c>
      <c r="B102" s="379">
        <f>Balances!J14</f>
        <v>0</v>
      </c>
      <c r="C102" s="379">
        <f t="shared" si="23"/>
        <v>0</v>
      </c>
      <c r="D102" s="379">
        <f t="shared" si="24"/>
        <v>0</v>
      </c>
      <c r="E102" s="380">
        <f t="shared" si="25"/>
        <v>0</v>
      </c>
      <c r="F102" s="381"/>
      <c r="G102" s="381"/>
      <c r="H102" s="382"/>
      <c r="I102" s="381"/>
      <c r="J102" s="382"/>
      <c r="K102" s="381"/>
      <c r="L102" s="379">
        <f>IF((SUM(L94:L101)+SUM(L103:L132)-SUM(M103:M132)-SUM(M94:M101))&lt;0,-(SUM(L94:L101)+SUM(L103:L132)-SUM(M103:M132)-SUM(M94:M101)),0)</f>
        <v>0</v>
      </c>
      <c r="M102" s="379">
        <f>IF((SUM(L94:L101)+SUM(L103:L132)-SUM(M103:M132)-SUM(M94:M101))&gt;0,SUM(L94:L101)+SUM(L103:L132)-SUM(M103:M132)-SUM(M94:M101),0)</f>
        <v>0</v>
      </c>
      <c r="N102" s="379">
        <f>IF((SUM(N94:N101)+SUM(N103:N132)-SUM(O103:O132)-SUM(O94:O101))&lt;0,-(SUM(N94:N101)+SUM(N103:N132)-SUM(O103:O132)-SUM(O94:O101)),0)</f>
        <v>0</v>
      </c>
      <c r="O102" s="379">
        <f>IF((SUM(N94:N101)+SUM(N103:N132)-SUM(O103:O132)-SUM(O94:O101))&gt;0,SUM(N94:N101)+SUM(N103:N132)-SUM(O103:O132)-SUM(O94:O101),0)</f>
        <v>0</v>
      </c>
    </row>
    <row r="103" spans="1:15">
      <c r="A103" s="371" t="s">
        <v>71</v>
      </c>
      <c r="B103" s="373"/>
      <c r="C103" s="373"/>
      <c r="D103" s="373"/>
      <c r="E103" s="373"/>
      <c r="F103" s="373"/>
      <c r="G103" s="373"/>
      <c r="H103" s="374"/>
      <c r="I103" s="373"/>
      <c r="J103" s="374"/>
      <c r="K103" s="373"/>
      <c r="L103" s="374">
        <f>IF((D103-E103+F103-G103+H103-J103)&gt;0,D103-E103+F103-G103+H103-J103,0)</f>
        <v>0</v>
      </c>
      <c r="M103" s="376">
        <f>IF((D103-E103+F103-G103+H103-J103)&lt;0,-(D103-E103+F103-G103+H103-J103),0)</f>
        <v>0</v>
      </c>
      <c r="N103" s="373"/>
      <c r="O103" s="373"/>
    </row>
    <row r="104" spans="1:15">
      <c r="A104" s="375" t="s">
        <v>65</v>
      </c>
      <c r="B104" s="373">
        <f>Balances!J17</f>
        <v>0</v>
      </c>
      <c r="C104" s="373">
        <f t="shared" ref="C104:C112" si="26">B60</f>
        <v>0</v>
      </c>
      <c r="D104" s="373">
        <f>IF((B104-C104)&lt;0,C104-B104,0)</f>
        <v>0</v>
      </c>
      <c r="E104" s="373">
        <f>IF((B104-C104)&gt;0,B104-C104,0)</f>
        <v>0</v>
      </c>
      <c r="F104" s="373"/>
      <c r="G104" s="373"/>
      <c r="H104" s="374"/>
      <c r="I104" s="373"/>
      <c r="J104" s="374"/>
      <c r="K104" s="373"/>
      <c r="M104" s="375"/>
      <c r="N104" s="373">
        <f t="shared" ref="N104:N112" si="27">IF((D104-E104+F104-G104+H104-J104)&gt;0,D104-E104+F104-G104+H104-J104,0)</f>
        <v>0</v>
      </c>
      <c r="O104" s="373">
        <f t="shared" ref="O104:O112" si="28">IF((D104-E104+F104-G104+H104-J104)&lt;0,-(D104-E104+F104-G104+H104-J104),0)</f>
        <v>0</v>
      </c>
    </row>
    <row r="105" spans="1:15">
      <c r="A105" s="375" t="s">
        <v>264</v>
      </c>
      <c r="B105" s="373">
        <f>Balances!J18</f>
        <v>0</v>
      </c>
      <c r="C105" s="373">
        <f t="shared" si="26"/>
        <v>0</v>
      </c>
      <c r="D105" s="373">
        <f t="shared" ref="D105:D118" si="29">IF((B105-C105)&lt;0,C105-B105,0)</f>
        <v>0</v>
      </c>
      <c r="E105" s="373">
        <f t="shared" ref="E105:E118" si="30">IF((B105-C105)&gt;0,B105-C105,0)</f>
        <v>0</v>
      </c>
      <c r="F105" s="373"/>
      <c r="G105" s="373"/>
      <c r="H105" s="374"/>
      <c r="I105" s="373"/>
      <c r="J105" s="374"/>
      <c r="K105" s="373"/>
      <c r="M105" s="375"/>
      <c r="N105" s="373">
        <f t="shared" si="27"/>
        <v>0</v>
      </c>
      <c r="O105" s="373">
        <f t="shared" si="28"/>
        <v>0</v>
      </c>
    </row>
    <row r="106" spans="1:15">
      <c r="A106" s="375" t="s">
        <v>73</v>
      </c>
      <c r="B106" s="373">
        <f>Balances!J19</f>
        <v>0</v>
      </c>
      <c r="C106" s="373">
        <f t="shared" si="26"/>
        <v>0</v>
      </c>
      <c r="D106" s="373">
        <f t="shared" si="29"/>
        <v>0</v>
      </c>
      <c r="E106" s="373">
        <f t="shared" si="30"/>
        <v>0</v>
      </c>
      <c r="F106" s="373">
        <f>E106</f>
        <v>0</v>
      </c>
      <c r="G106" s="373">
        <f>D106</f>
        <v>0</v>
      </c>
      <c r="H106" s="374"/>
      <c r="I106" s="373"/>
      <c r="J106" s="374"/>
      <c r="K106" s="373"/>
      <c r="M106" s="375"/>
      <c r="N106" s="373">
        <f t="shared" si="27"/>
        <v>0</v>
      </c>
      <c r="O106" s="373">
        <f t="shared" si="28"/>
        <v>0</v>
      </c>
    </row>
    <row r="107" spans="1:15">
      <c r="A107" s="375" t="s">
        <v>448</v>
      </c>
      <c r="B107" s="373">
        <f>Balances!J20</f>
        <v>0</v>
      </c>
      <c r="C107" s="373">
        <f t="shared" si="26"/>
        <v>0</v>
      </c>
      <c r="D107" s="373">
        <f t="shared" si="29"/>
        <v>0</v>
      </c>
      <c r="E107" s="373">
        <f t="shared" si="30"/>
        <v>0</v>
      </c>
      <c r="F107" s="373">
        <f>E107</f>
        <v>0</v>
      </c>
      <c r="G107" s="373">
        <f>D107</f>
        <v>0</v>
      </c>
      <c r="H107" s="374"/>
      <c r="I107" s="373"/>
      <c r="J107" s="374"/>
      <c r="K107" s="373"/>
      <c r="M107" s="375"/>
      <c r="N107" s="373">
        <f>IF((D107-E107+F107-G107+H107-J107)&gt;0,D107-E107+F107-G107+H107-J107,0)</f>
        <v>0</v>
      </c>
      <c r="O107" s="373">
        <f>IF((D107-E107+F107-G107+H107-J107)&lt;0,-(D107-E107+F107-G107+H107-J107),0)</f>
        <v>0</v>
      </c>
    </row>
    <row r="108" spans="1:15">
      <c r="A108" s="375" t="s">
        <v>450</v>
      </c>
      <c r="B108" s="373">
        <f>Balances!J21</f>
        <v>0</v>
      </c>
      <c r="C108" s="373">
        <f t="shared" si="26"/>
        <v>0</v>
      </c>
      <c r="D108" s="373">
        <f t="shared" si="29"/>
        <v>0</v>
      </c>
      <c r="E108" s="373">
        <f t="shared" si="30"/>
        <v>0</v>
      </c>
      <c r="F108" s="373">
        <f>G132+G107</f>
        <v>0</v>
      </c>
      <c r="G108" s="373">
        <f>F132+F107</f>
        <v>0</v>
      </c>
      <c r="H108" s="374"/>
      <c r="I108" s="373"/>
      <c r="J108" s="374"/>
      <c r="K108" s="373"/>
      <c r="M108" s="375"/>
      <c r="N108" s="373">
        <f t="shared" si="27"/>
        <v>0</v>
      </c>
      <c r="O108" s="373">
        <f t="shared" si="28"/>
        <v>0</v>
      </c>
    </row>
    <row r="109" spans="1:15">
      <c r="A109" s="375" t="s">
        <v>449</v>
      </c>
      <c r="B109" s="373">
        <f>Balances!J22</f>
        <v>0</v>
      </c>
      <c r="C109" s="373">
        <f t="shared" si="26"/>
        <v>0</v>
      </c>
      <c r="D109" s="373">
        <f>IF((B109-C109)&lt;0,C109-B109,0)</f>
        <v>0</v>
      </c>
      <c r="E109" s="373">
        <f>IF((B109-C109)&gt;0,B109-C109,0)</f>
        <v>0</v>
      </c>
      <c r="F109" s="373"/>
      <c r="G109" s="373"/>
      <c r="H109" s="374"/>
      <c r="I109" s="373"/>
      <c r="J109" s="374"/>
      <c r="K109" s="373"/>
      <c r="M109" s="375"/>
      <c r="N109" s="373">
        <f>IF((D109-E109+F109-G109+H109-J109)&gt;0,D109-E109+F109-G109+H109-J109,0)</f>
        <v>0</v>
      </c>
      <c r="O109" s="373">
        <f>IF((D109-E109+F109-G109+H109-J109)&lt;0,-(D109-E109+F109-G109+H109-J109),0)</f>
        <v>0</v>
      </c>
    </row>
    <row r="110" spans="1:15">
      <c r="A110" s="375" t="s">
        <v>153</v>
      </c>
      <c r="B110" s="373">
        <f>Balances!J23</f>
        <v>0</v>
      </c>
      <c r="C110" s="373">
        <f t="shared" si="26"/>
        <v>0</v>
      </c>
      <c r="D110" s="373">
        <f t="shared" si="29"/>
        <v>0</v>
      </c>
      <c r="E110" s="373">
        <f t="shared" si="30"/>
        <v>0</v>
      </c>
      <c r="F110" s="373"/>
      <c r="G110" s="373">
        <f>F123</f>
        <v>0</v>
      </c>
      <c r="H110" s="374"/>
      <c r="I110" s="373"/>
      <c r="J110" s="374"/>
      <c r="K110" s="373"/>
      <c r="M110" s="375"/>
      <c r="N110" s="373">
        <f t="shared" si="27"/>
        <v>0</v>
      </c>
      <c r="O110" s="373">
        <f t="shared" si="28"/>
        <v>0</v>
      </c>
    </row>
    <row r="111" spans="1:15">
      <c r="A111" s="375" t="s">
        <v>271</v>
      </c>
      <c r="B111" s="373">
        <f>Balances!J25</f>
        <v>0</v>
      </c>
      <c r="C111" s="373">
        <f t="shared" si="26"/>
        <v>0</v>
      </c>
      <c r="D111" s="373">
        <f t="shared" si="29"/>
        <v>0</v>
      </c>
      <c r="E111" s="373">
        <f t="shared" si="30"/>
        <v>0</v>
      </c>
      <c r="F111" s="373"/>
      <c r="G111" s="373"/>
      <c r="H111" s="374"/>
      <c r="I111" s="373"/>
      <c r="J111" s="374"/>
      <c r="K111" s="373"/>
      <c r="M111" s="375"/>
      <c r="N111" s="373">
        <f t="shared" si="27"/>
        <v>0</v>
      </c>
      <c r="O111" s="373">
        <f t="shared" si="28"/>
        <v>0</v>
      </c>
    </row>
    <row r="112" spans="1:15">
      <c r="A112" s="375" t="s">
        <v>272</v>
      </c>
      <c r="B112" s="373">
        <f>Balances!J26</f>
        <v>0</v>
      </c>
      <c r="C112" s="373">
        <f t="shared" si="26"/>
        <v>0</v>
      </c>
      <c r="D112" s="373">
        <f>IF((B112-C112)&lt;0,C112-B112,0)</f>
        <v>0</v>
      </c>
      <c r="E112" s="373">
        <f>IF((B112-C112)&gt;0,B112-C112,0)</f>
        <v>0</v>
      </c>
      <c r="F112" s="373"/>
      <c r="G112" s="373"/>
      <c r="H112" s="374"/>
      <c r="I112" s="373"/>
      <c r="J112" s="374"/>
      <c r="K112" s="373"/>
      <c r="M112" s="375"/>
      <c r="N112" s="373">
        <f t="shared" si="27"/>
        <v>0</v>
      </c>
      <c r="O112" s="373">
        <f t="shared" si="28"/>
        <v>0</v>
      </c>
    </row>
    <row r="113" spans="1:15">
      <c r="A113" s="375" t="s">
        <v>329</v>
      </c>
      <c r="B113" s="373">
        <f>Balances!J28</f>
        <v>0</v>
      </c>
      <c r="C113" s="373">
        <f t="shared" ref="C113:C118" si="31">B69</f>
        <v>0</v>
      </c>
      <c r="D113" s="373">
        <f t="shared" si="29"/>
        <v>0</v>
      </c>
      <c r="E113" s="373">
        <f t="shared" si="30"/>
        <v>0</v>
      </c>
      <c r="F113" s="373"/>
      <c r="G113" s="373"/>
      <c r="H113" s="374"/>
      <c r="I113" s="373"/>
      <c r="J113" s="374"/>
      <c r="K113" s="373"/>
      <c r="L113" s="374">
        <f t="shared" ref="L113:L121" si="32">IF((D113-E113+F113-G113+H113-J113)&gt;0,D113-E113+F113-G113+H113-J113,0)</f>
        <v>0</v>
      </c>
      <c r="M113" s="376">
        <f>IF((D113-E113+F113-G113+H113-J113)&lt;0,-(D113-E113+F113-G113+H113-J113),0)</f>
        <v>0</v>
      </c>
      <c r="N113" s="373"/>
      <c r="O113" s="373"/>
    </row>
    <row r="114" spans="1:15">
      <c r="A114" s="375" t="str">
        <f>A70</f>
        <v>Acreedores comerciales</v>
      </c>
      <c r="B114" s="373">
        <f>Balances!J29</f>
        <v>0</v>
      </c>
      <c r="C114" s="373">
        <f t="shared" si="31"/>
        <v>0</v>
      </c>
      <c r="D114" s="373">
        <f t="shared" si="29"/>
        <v>0</v>
      </c>
      <c r="E114" s="373">
        <f t="shared" si="30"/>
        <v>0</v>
      </c>
      <c r="F114" s="373"/>
      <c r="G114" s="373"/>
      <c r="H114" s="399">
        <f>J125</f>
        <v>0</v>
      </c>
      <c r="I114" s="394">
        <v>-2</v>
      </c>
      <c r="J114" s="374"/>
      <c r="K114" s="373"/>
      <c r="L114" s="373">
        <f t="shared" si="32"/>
        <v>0</v>
      </c>
      <c r="M114" s="373">
        <f t="shared" ref="M114:M119" si="33">IF((D114-E114+F114-G114+H114-J114)&lt;0,-(D114-E114+F114-G114+H114-J114),0)</f>
        <v>0</v>
      </c>
      <c r="N114" s="373"/>
      <c r="O114" s="373"/>
    </row>
    <row r="115" spans="1:15">
      <c r="A115" s="375" t="s">
        <v>55</v>
      </c>
      <c r="B115" s="373">
        <f>Balances!J30</f>
        <v>0</v>
      </c>
      <c r="C115" s="373">
        <f t="shared" si="31"/>
        <v>0</v>
      </c>
      <c r="D115" s="373">
        <f t="shared" si="29"/>
        <v>0</v>
      </c>
      <c r="E115" s="373">
        <f t="shared" si="30"/>
        <v>0</v>
      </c>
      <c r="F115" s="373"/>
      <c r="G115" s="373"/>
      <c r="H115" s="399">
        <f>J131</f>
        <v>0</v>
      </c>
      <c r="I115" s="377">
        <v>-5</v>
      </c>
      <c r="J115" s="374"/>
      <c r="K115" s="373"/>
      <c r="L115" s="373"/>
      <c r="M115" s="373"/>
      <c r="N115" s="373">
        <f>IF((D115-E115+F115-G115+H115-J115)&gt;0,D115-E115+F115-G115+H115-J115,0)</f>
        <v>0</v>
      </c>
      <c r="O115" s="373">
        <f>IF((D115-E115+F115-G115+H115-J115)&lt;0,-(D115-E115+F115-G115+H115-J115),0)</f>
        <v>0</v>
      </c>
    </row>
    <row r="116" spans="1:15">
      <c r="A116" s="375" t="str">
        <f>A72</f>
        <v>H.P. acreedora por distintos conceptos</v>
      </c>
      <c r="B116" s="373">
        <f>Balances!J31</f>
        <v>0</v>
      </c>
      <c r="C116" s="373">
        <f t="shared" si="31"/>
        <v>0</v>
      </c>
      <c r="D116" s="373">
        <f t="shared" si="29"/>
        <v>0</v>
      </c>
      <c r="E116" s="373">
        <f t="shared" si="30"/>
        <v>0</v>
      </c>
      <c r="F116" s="373">
        <f>G100</f>
        <v>0</v>
      </c>
      <c r="G116" s="373"/>
      <c r="H116" s="399">
        <f>J130+Circulantes!L35</f>
        <v>0</v>
      </c>
      <c r="I116" s="394">
        <v>-3</v>
      </c>
      <c r="J116" s="374"/>
      <c r="K116" s="373"/>
      <c r="L116" s="373">
        <f t="shared" si="32"/>
        <v>0</v>
      </c>
      <c r="M116" s="373">
        <f t="shared" si="33"/>
        <v>0</v>
      </c>
      <c r="N116" s="373"/>
      <c r="O116" s="373"/>
    </row>
    <row r="117" spans="1:15">
      <c r="A117" s="375" t="str">
        <f>A73</f>
        <v>Organismos de la S.S. acreedores</v>
      </c>
      <c r="B117" s="373">
        <f>Balances!J32</f>
        <v>0</v>
      </c>
      <c r="C117" s="373">
        <f t="shared" si="31"/>
        <v>0</v>
      </c>
      <c r="D117" s="373">
        <f t="shared" si="29"/>
        <v>0</v>
      </c>
      <c r="E117" s="373">
        <f t="shared" si="30"/>
        <v>0</v>
      </c>
      <c r="F117" s="373"/>
      <c r="G117" s="373"/>
      <c r="H117" s="399">
        <f>Circulantes!L36</f>
        <v>0</v>
      </c>
      <c r="I117" s="394">
        <v>-4</v>
      </c>
      <c r="J117" s="384"/>
      <c r="K117" s="373"/>
      <c r="L117" s="373">
        <f t="shared" si="32"/>
        <v>0</v>
      </c>
      <c r="M117" s="373">
        <f t="shared" si="33"/>
        <v>0</v>
      </c>
      <c r="N117" s="373"/>
      <c r="O117" s="373"/>
    </row>
    <row r="118" spans="1:15">
      <c r="A118" s="378" t="str">
        <f>A74</f>
        <v>Otras cuentas a pagar no financieras</v>
      </c>
      <c r="B118" s="385">
        <f>Balances!J33</f>
        <v>0</v>
      </c>
      <c r="C118" s="381">
        <f t="shared" si="31"/>
        <v>0</v>
      </c>
      <c r="D118" s="385">
        <f t="shared" si="29"/>
        <v>0</v>
      </c>
      <c r="E118" s="381">
        <f t="shared" si="30"/>
        <v>0</v>
      </c>
      <c r="F118" s="381"/>
      <c r="G118" s="381"/>
      <c r="H118" s="400"/>
      <c r="I118" s="395"/>
      <c r="J118" s="382"/>
      <c r="K118" s="381"/>
      <c r="L118" s="381">
        <f t="shared" si="32"/>
        <v>0</v>
      </c>
      <c r="M118" s="381">
        <f t="shared" si="33"/>
        <v>0</v>
      </c>
      <c r="N118" s="381"/>
      <c r="O118" s="381"/>
    </row>
    <row r="119" spans="1:15">
      <c r="A119" s="375" t="s">
        <v>115</v>
      </c>
      <c r="B119" s="373"/>
      <c r="C119" s="373"/>
      <c r="D119" s="373"/>
      <c r="E119" s="373">
        <f>Resultados!I5</f>
        <v>0</v>
      </c>
      <c r="F119" s="373"/>
      <c r="G119" s="373"/>
      <c r="H119" s="374">
        <f>E119</f>
        <v>0</v>
      </c>
      <c r="I119" s="377">
        <v>-1</v>
      </c>
      <c r="J119" s="374"/>
      <c r="K119" s="373"/>
      <c r="L119" s="373">
        <f t="shared" si="32"/>
        <v>0</v>
      </c>
      <c r="M119" s="373">
        <f t="shared" si="33"/>
        <v>0</v>
      </c>
      <c r="N119" s="373"/>
      <c r="O119" s="373"/>
    </row>
    <row r="120" spans="1:15">
      <c r="A120" s="375" t="s">
        <v>42</v>
      </c>
      <c r="B120" s="373"/>
      <c r="C120" s="373"/>
      <c r="D120" s="373"/>
      <c r="E120" s="373">
        <f>Resultados!I6</f>
        <v>0</v>
      </c>
      <c r="F120" s="373">
        <f>E120</f>
        <v>0</v>
      </c>
      <c r="G120" s="373"/>
      <c r="H120" s="374"/>
      <c r="I120" s="377"/>
      <c r="J120" s="374"/>
      <c r="K120" s="373"/>
      <c r="L120" s="373">
        <f t="shared" si="32"/>
        <v>0</v>
      </c>
      <c r="M120" s="373">
        <f>IF((D120-E120+F120-G120+H120-J120)&lt;0,-(D120-E120+F120-G120+H120-J120),0)</f>
        <v>0</v>
      </c>
      <c r="N120" s="373"/>
      <c r="O120" s="373"/>
    </row>
    <row r="121" spans="1:15">
      <c r="A121" s="654" t="s">
        <v>298</v>
      </c>
      <c r="B121" s="373"/>
      <c r="C121" s="373"/>
      <c r="D121" s="373"/>
      <c r="E121" s="373">
        <f>Resultados!I7</f>
        <v>0</v>
      </c>
      <c r="F121" s="373"/>
      <c r="G121" s="373"/>
      <c r="H121" s="374"/>
      <c r="I121" s="377"/>
      <c r="J121" s="374"/>
      <c r="K121" s="373"/>
      <c r="L121" s="373">
        <f t="shared" si="32"/>
        <v>0</v>
      </c>
      <c r="M121" s="373">
        <f>IF((D121-E121+F121-G121+H121-J121)&lt;0,-(D121-E121+F121-G121+H121-J121),0)</f>
        <v>0</v>
      </c>
      <c r="N121" s="373"/>
      <c r="O121" s="373"/>
    </row>
    <row r="122" spans="1:15">
      <c r="A122" s="654" t="s">
        <v>235</v>
      </c>
      <c r="B122" s="373"/>
      <c r="C122" s="373"/>
      <c r="D122" s="373"/>
      <c r="E122" s="373">
        <f>Resultados!I8+Resultados!I9</f>
        <v>0</v>
      </c>
      <c r="F122" s="373">
        <f>E122</f>
        <v>0</v>
      </c>
      <c r="G122" s="373"/>
      <c r="H122" s="374"/>
      <c r="I122" s="377"/>
      <c r="J122" s="374"/>
      <c r="K122" s="373"/>
      <c r="L122" s="373"/>
      <c r="M122" s="373"/>
      <c r="N122" s="373"/>
      <c r="O122" s="373"/>
    </row>
    <row r="123" spans="1:15">
      <c r="A123" s="654" t="s">
        <v>245</v>
      </c>
      <c r="B123" s="373"/>
      <c r="C123" s="373"/>
      <c r="D123" s="373"/>
      <c r="E123" s="373">
        <f>Resultados!I10</f>
        <v>0</v>
      </c>
      <c r="F123" s="373">
        <f>E123</f>
        <v>0</v>
      </c>
      <c r="G123" s="373"/>
      <c r="H123" s="374"/>
      <c r="I123" s="377"/>
      <c r="J123" s="374"/>
      <c r="K123" s="373"/>
      <c r="L123" s="373"/>
      <c r="M123" s="373"/>
      <c r="N123" s="373"/>
      <c r="O123" s="373"/>
    </row>
    <row r="124" spans="1:15">
      <c r="A124" s="654" t="s">
        <v>165</v>
      </c>
      <c r="B124" s="373"/>
      <c r="C124" s="373"/>
      <c r="D124" s="373"/>
      <c r="E124" s="373">
        <f>Resultados!I11</f>
        <v>0</v>
      </c>
      <c r="F124" s="373"/>
      <c r="G124" s="373"/>
      <c r="H124" s="374"/>
      <c r="I124" s="373"/>
      <c r="J124" s="374"/>
      <c r="K124" s="373"/>
      <c r="L124" s="373">
        <f t="shared" ref="L124:L132" si="34">IF((D124-E124+F124-G124+H124-J124)&gt;0,D124-E124+F124-G124+H124-J124,0)</f>
        <v>0</v>
      </c>
      <c r="M124" s="373">
        <f t="shared" ref="M124:M132" si="35">IF((D124-E124+F124-G124+H124-J124)&lt;0,-(D124-E124+F124-G124+H124-J124),0)</f>
        <v>0</v>
      </c>
      <c r="N124" s="373"/>
      <c r="O124" s="373"/>
    </row>
    <row r="125" spans="1:15">
      <c r="A125" s="375" t="s">
        <v>116</v>
      </c>
      <c r="B125" s="373"/>
      <c r="C125" s="373"/>
      <c r="D125" s="373">
        <f>-SUM(Resultados!J12:J13)</f>
        <v>0</v>
      </c>
      <c r="E125" s="373"/>
      <c r="F125" s="373"/>
      <c r="G125" s="373"/>
      <c r="H125" s="374"/>
      <c r="I125" s="373"/>
      <c r="J125" s="374">
        <f>D125</f>
        <v>0</v>
      </c>
      <c r="K125" s="377">
        <v>-2</v>
      </c>
      <c r="L125" s="373">
        <f t="shared" si="34"/>
        <v>0</v>
      </c>
      <c r="M125" s="373">
        <f t="shared" si="35"/>
        <v>0</v>
      </c>
      <c r="N125" s="373"/>
      <c r="O125" s="373"/>
    </row>
    <row r="126" spans="1:15">
      <c r="A126" s="375" t="s">
        <v>117</v>
      </c>
      <c r="B126" s="373"/>
      <c r="C126" s="373"/>
      <c r="D126" s="373">
        <f>'G. Fijos'!F17</f>
        <v>0</v>
      </c>
      <c r="E126" s="373"/>
      <c r="F126" s="373"/>
      <c r="G126" s="373"/>
      <c r="H126" s="374"/>
      <c r="I126" s="373"/>
      <c r="J126" s="374">
        <f>SUM(Circulantes!L35:L36)</f>
        <v>0</v>
      </c>
      <c r="K126" s="377">
        <v>-3</v>
      </c>
      <c r="L126" s="373">
        <f t="shared" si="34"/>
        <v>0</v>
      </c>
      <c r="M126" s="373">
        <f t="shared" si="35"/>
        <v>0</v>
      </c>
      <c r="N126" s="373"/>
      <c r="O126" s="373"/>
    </row>
    <row r="127" spans="1:15">
      <c r="A127" s="375" t="s">
        <v>118</v>
      </c>
      <c r="B127" s="373"/>
      <c r="C127" s="373"/>
      <c r="D127" s="373">
        <f>'G. Fijos'!F18</f>
        <v>0</v>
      </c>
      <c r="E127" s="373"/>
      <c r="F127" s="373"/>
      <c r="G127" s="373">
        <f>D127</f>
        <v>0</v>
      </c>
      <c r="H127" s="374"/>
      <c r="I127" s="373"/>
      <c r="J127" s="374"/>
      <c r="K127" s="377"/>
      <c r="L127" s="373">
        <f t="shared" si="34"/>
        <v>0</v>
      </c>
      <c r="M127" s="373">
        <f t="shared" si="35"/>
        <v>0</v>
      </c>
      <c r="N127" s="373"/>
      <c r="O127" s="373"/>
    </row>
    <row r="128" spans="1:15">
      <c r="A128" s="375" t="s">
        <v>119</v>
      </c>
      <c r="B128" s="373"/>
      <c r="C128" s="373"/>
      <c r="D128" s="373">
        <f>'G. Fijos'!F5</f>
        <v>0</v>
      </c>
      <c r="E128" s="373"/>
      <c r="F128" s="373"/>
      <c r="G128" s="373"/>
      <c r="H128" s="374"/>
      <c r="I128" s="373"/>
      <c r="J128" s="374"/>
      <c r="K128" s="377"/>
      <c r="L128" s="373">
        <f t="shared" si="34"/>
        <v>0</v>
      </c>
      <c r="M128" s="373">
        <f t="shared" si="35"/>
        <v>0</v>
      </c>
      <c r="N128" s="373"/>
      <c r="O128" s="373"/>
    </row>
    <row r="129" spans="1:15">
      <c r="A129" s="375" t="s">
        <v>120</v>
      </c>
      <c r="B129" s="373"/>
      <c r="C129" s="373"/>
      <c r="D129" s="373">
        <f>'G. Fijos'!F21</f>
        <v>0</v>
      </c>
      <c r="E129" s="373"/>
      <c r="F129" s="373"/>
      <c r="G129" s="373"/>
      <c r="H129" s="374"/>
      <c r="I129" s="373"/>
      <c r="J129" s="374"/>
      <c r="K129" s="377"/>
      <c r="L129" s="373">
        <f t="shared" si="34"/>
        <v>0</v>
      </c>
      <c r="M129" s="373">
        <f t="shared" si="35"/>
        <v>0</v>
      </c>
      <c r="N129" s="373"/>
      <c r="O129" s="373"/>
    </row>
    <row r="130" spans="1:15">
      <c r="A130" s="375" t="s">
        <v>45</v>
      </c>
      <c r="B130" s="373"/>
      <c r="C130" s="373"/>
      <c r="D130" s="373">
        <f>-Resultados!J23</f>
        <v>0</v>
      </c>
      <c r="E130" s="373"/>
      <c r="F130" s="373"/>
      <c r="G130" s="373"/>
      <c r="H130" s="374"/>
      <c r="I130" s="373"/>
      <c r="J130" s="374">
        <f>D130</f>
        <v>0</v>
      </c>
      <c r="K130" s="377">
        <v>-3</v>
      </c>
      <c r="L130" s="373">
        <f t="shared" si="34"/>
        <v>0</v>
      </c>
      <c r="M130" s="373">
        <f t="shared" si="35"/>
        <v>0</v>
      </c>
      <c r="N130" s="373"/>
      <c r="O130" s="373"/>
    </row>
    <row r="131" spans="1:15">
      <c r="A131" s="375" t="s">
        <v>55</v>
      </c>
      <c r="B131" s="373"/>
      <c r="C131" s="373"/>
      <c r="D131" s="373">
        <f>-Resultados!J25</f>
        <v>0</v>
      </c>
      <c r="E131" s="373"/>
      <c r="F131" s="373"/>
      <c r="G131" s="373"/>
      <c r="H131" s="374"/>
      <c r="I131" s="373"/>
      <c r="J131" s="374">
        <f>D131</f>
        <v>0</v>
      </c>
      <c r="K131" s="377">
        <v>-5</v>
      </c>
      <c r="L131" s="373">
        <f t="shared" si="34"/>
        <v>0</v>
      </c>
      <c r="M131" s="373">
        <f t="shared" si="35"/>
        <v>0</v>
      </c>
      <c r="N131" s="373"/>
      <c r="O131" s="373"/>
    </row>
    <row r="132" spans="1:15">
      <c r="A132" s="378" t="s">
        <v>121</v>
      </c>
      <c r="B132" s="381"/>
      <c r="C132" s="381"/>
      <c r="D132" s="373">
        <f>IF(SUM(E119:E124)-SUM(D125:D131)&gt;0,SUM(E119:E124)-SUM(D125:D131),0)</f>
        <v>0</v>
      </c>
      <c r="E132" s="373">
        <f>IF(SUM(D125:D131)-SUM(E119:E124)&gt;0,SUM(D125:D131)-SUM(E119:E124),0)</f>
        <v>0</v>
      </c>
      <c r="F132" s="381">
        <f>E132</f>
        <v>0</v>
      </c>
      <c r="G132" s="381">
        <f>D132</f>
        <v>0</v>
      </c>
      <c r="H132" s="382"/>
      <c r="I132" s="381"/>
      <c r="J132" s="382"/>
      <c r="K132" s="377"/>
      <c r="L132" s="373">
        <f t="shared" si="34"/>
        <v>0</v>
      </c>
      <c r="M132" s="373">
        <f t="shared" si="35"/>
        <v>0</v>
      </c>
      <c r="N132" s="381"/>
      <c r="O132" s="381"/>
    </row>
    <row r="133" spans="1:15">
      <c r="A133" s="396" t="s">
        <v>122</v>
      </c>
      <c r="B133" s="379">
        <f>SUM(B94:B102)-SUM(B104:B118)</f>
        <v>0</v>
      </c>
      <c r="C133" s="379">
        <f>SUM(C94:C102)-SUM(C104:C118)</f>
        <v>0</v>
      </c>
      <c r="D133" s="379">
        <f>SUM(D94:D132)</f>
        <v>0</v>
      </c>
      <c r="E133" s="379">
        <f t="shared" ref="E133:O133" si="36">SUM(E94:E132)</f>
        <v>0</v>
      </c>
      <c r="F133" s="379">
        <f t="shared" si="36"/>
        <v>0</v>
      </c>
      <c r="G133" s="379">
        <f t="shared" si="36"/>
        <v>0</v>
      </c>
      <c r="H133" s="397">
        <f t="shared" si="36"/>
        <v>0</v>
      </c>
      <c r="I133" s="398"/>
      <c r="J133" s="401">
        <f t="shared" si="36"/>
        <v>0</v>
      </c>
      <c r="K133" s="402"/>
      <c r="L133" s="379">
        <f t="shared" si="36"/>
        <v>0</v>
      </c>
      <c r="M133" s="379">
        <f t="shared" si="36"/>
        <v>0</v>
      </c>
      <c r="N133" s="379">
        <f t="shared" si="36"/>
        <v>0</v>
      </c>
      <c r="O133" s="379">
        <f t="shared" si="36"/>
        <v>0</v>
      </c>
    </row>
    <row r="134" spans="1:15" ht="8.25" customHeight="1">
      <c r="O134" s="365"/>
    </row>
    <row r="135" spans="1:15" s="369" customFormat="1">
      <c r="A135" s="1081" t="s">
        <v>102</v>
      </c>
      <c r="B135" s="1083" t="s">
        <v>325</v>
      </c>
      <c r="C135" s="1083" t="s">
        <v>97</v>
      </c>
      <c r="D135" s="366" t="s">
        <v>104</v>
      </c>
      <c r="E135" s="367"/>
      <c r="F135" s="368" t="s">
        <v>105</v>
      </c>
      <c r="G135" s="368"/>
      <c r="H135" s="366" t="s">
        <v>106</v>
      </c>
      <c r="I135" s="368"/>
      <c r="J135" s="367"/>
      <c r="K135" s="368"/>
      <c r="L135" s="366" t="s">
        <v>107</v>
      </c>
      <c r="M135" s="367"/>
      <c r="N135" s="366" t="s">
        <v>108</v>
      </c>
      <c r="O135" s="367"/>
    </row>
    <row r="136" spans="1:15" s="369" customFormat="1">
      <c r="A136" s="1082"/>
      <c r="B136" s="1084"/>
      <c r="C136" s="1084"/>
      <c r="D136" s="370" t="s">
        <v>168</v>
      </c>
      <c r="E136" s="370" t="s">
        <v>169</v>
      </c>
      <c r="F136" s="370" t="s">
        <v>109</v>
      </c>
      <c r="G136" s="370" t="s">
        <v>110</v>
      </c>
      <c r="H136" s="366" t="s">
        <v>109</v>
      </c>
      <c r="I136" s="367"/>
      <c r="J136" s="366" t="s">
        <v>110</v>
      </c>
      <c r="K136" s="367"/>
      <c r="L136" s="370" t="s">
        <v>111</v>
      </c>
      <c r="M136" s="370" t="s">
        <v>112</v>
      </c>
      <c r="N136" s="370" t="s">
        <v>113</v>
      </c>
      <c r="O136" s="370" t="s">
        <v>112</v>
      </c>
    </row>
    <row r="137" spans="1:15">
      <c r="A137" s="371" t="s">
        <v>69</v>
      </c>
      <c r="B137" s="372"/>
      <c r="C137" s="373"/>
      <c r="D137" s="373"/>
      <c r="E137" s="373"/>
      <c r="F137" s="373"/>
      <c r="G137" s="373"/>
      <c r="H137" s="374"/>
      <c r="I137" s="377"/>
      <c r="J137" s="374"/>
      <c r="K137" s="377"/>
      <c r="L137" s="373"/>
      <c r="M137" s="373"/>
      <c r="N137" s="373"/>
      <c r="O137" s="373"/>
    </row>
    <row r="138" spans="1:15">
      <c r="A138" s="375" t="s">
        <v>166</v>
      </c>
      <c r="B138" s="376">
        <f>Balances!L4+Balances!L6</f>
        <v>0</v>
      </c>
      <c r="C138" s="373">
        <f t="shared" ref="C138:C146" si="37">B94</f>
        <v>0</v>
      </c>
      <c r="D138" s="373">
        <f t="shared" ref="D138:D146" si="38">IF((B138-C138)&gt;0,B138-C138,0)</f>
        <v>0</v>
      </c>
      <c r="E138" s="373">
        <f t="shared" ref="E138:E146" si="39">IF((B138-C138)&lt;0,C138-B138,0)</f>
        <v>0</v>
      </c>
      <c r="F138" s="373"/>
      <c r="G138" s="373">
        <f>F166</f>
        <v>0</v>
      </c>
      <c r="H138" s="374"/>
      <c r="I138" s="377"/>
      <c r="J138" s="374"/>
      <c r="K138" s="377"/>
      <c r="M138" s="375"/>
      <c r="N138" s="373">
        <f>IF((D138-E138+F138-G138+H138-J138)&gt;0,D138-E138+F138-G138+H138-J138,0)</f>
        <v>0</v>
      </c>
      <c r="O138" s="373">
        <f>IF((D138-E138+F138-G138+H138-J138)&lt;0,-(D138-E138+F138-G138+H138-J138),0)</f>
        <v>0</v>
      </c>
    </row>
    <row r="139" spans="1:15">
      <c r="A139" s="375" t="s">
        <v>114</v>
      </c>
      <c r="B139" s="376">
        <f>Balances!L5+Balances!L7</f>
        <v>0</v>
      </c>
      <c r="C139" s="373">
        <f t="shared" si="37"/>
        <v>0</v>
      </c>
      <c r="D139" s="373">
        <f t="shared" si="38"/>
        <v>0</v>
      </c>
      <c r="E139" s="373">
        <f t="shared" si="39"/>
        <v>0</v>
      </c>
      <c r="F139" s="373">
        <f>E139</f>
        <v>0</v>
      </c>
      <c r="G139" s="373"/>
      <c r="H139" s="374"/>
      <c r="I139" s="377"/>
      <c r="J139" s="374"/>
      <c r="K139" s="377"/>
      <c r="M139" s="375"/>
      <c r="N139" s="373">
        <f>IF((D139-E139+F139-G139+H139-J139)&gt;0,D139-E139+F139-G139+H139-J139,0)</f>
        <v>0</v>
      </c>
      <c r="O139" s="373">
        <f>IF((D139-E139+F139-G139+H139-J139)&lt;0,-(D139-E139+F139-G139+H139-J139),0)</f>
        <v>0</v>
      </c>
    </row>
    <row r="140" spans="1:15">
      <c r="A140" s="375" t="s">
        <v>167</v>
      </c>
      <c r="B140" s="376">
        <f>Balances!L8</f>
        <v>0</v>
      </c>
      <c r="C140" s="373">
        <f t="shared" si="37"/>
        <v>0</v>
      </c>
      <c r="D140" s="373">
        <f t="shared" si="38"/>
        <v>0</v>
      </c>
      <c r="E140" s="373">
        <f t="shared" si="39"/>
        <v>0</v>
      </c>
      <c r="F140" s="373"/>
      <c r="G140" s="373"/>
      <c r="H140" s="374"/>
      <c r="I140" s="377"/>
      <c r="J140" s="374"/>
      <c r="K140" s="377"/>
      <c r="M140" s="375"/>
      <c r="N140" s="373">
        <f>IF((D140-E140+F140-G140+H140-J140)&gt;0,D140-E140+F140-G140+H140-J140,0)</f>
        <v>0</v>
      </c>
      <c r="O140" s="373">
        <f>IF((D140-E140+F140-G140+H140-J140)&lt;0,-(D140-E140+F140-G140+H140-J140),0)</f>
        <v>0</v>
      </c>
    </row>
    <row r="141" spans="1:15">
      <c r="A141" s="375" t="s">
        <v>467</v>
      </c>
      <c r="B141" s="376">
        <f>Balances!L9</f>
        <v>0</v>
      </c>
      <c r="C141" s="373">
        <f t="shared" si="37"/>
        <v>0</v>
      </c>
      <c r="D141" s="373">
        <f>IF((B141-C141)&gt;0,B141-C141,0)</f>
        <v>0</v>
      </c>
      <c r="E141" s="373">
        <f>IF((B141-C141)&lt;0,C141-B141,0)</f>
        <v>0</v>
      </c>
      <c r="F141" s="373"/>
      <c r="G141" s="373"/>
      <c r="H141" s="374"/>
      <c r="I141" s="377"/>
      <c r="J141" s="374"/>
      <c r="K141" s="377"/>
      <c r="M141" s="375"/>
      <c r="N141" s="373"/>
      <c r="O141" s="373"/>
    </row>
    <row r="142" spans="1:15">
      <c r="A142" s="375" t="s">
        <v>319</v>
      </c>
      <c r="B142" s="376">
        <f>Balances!L11</f>
        <v>0</v>
      </c>
      <c r="C142" s="373">
        <f t="shared" si="37"/>
        <v>0</v>
      </c>
      <c r="D142" s="373">
        <f t="shared" si="38"/>
        <v>0</v>
      </c>
      <c r="E142" s="373">
        <f t="shared" si="39"/>
        <v>0</v>
      </c>
      <c r="F142" s="373"/>
      <c r="G142" s="373">
        <f>F164</f>
        <v>0</v>
      </c>
      <c r="H142" s="374"/>
      <c r="I142" s="377"/>
      <c r="J142" s="374"/>
      <c r="K142" s="377"/>
      <c r="L142" s="374">
        <f>IF((D142-E142+F142-G142+H142-J142)&gt;0,D142-E142+F142-G142+H142-J142,0)</f>
        <v>0</v>
      </c>
      <c r="M142" s="376">
        <f>IF((D142-E142+F142-G142+H142-J142)&lt;0,-(D142-E142+F142-G142+H142-J142),0)</f>
        <v>0</v>
      </c>
      <c r="N142" s="373"/>
      <c r="O142" s="373"/>
    </row>
    <row r="143" spans="1:15">
      <c r="A143" s="375" t="s">
        <v>52</v>
      </c>
      <c r="B143" s="376">
        <f>Balances!L12</f>
        <v>0</v>
      </c>
      <c r="C143" s="373">
        <f t="shared" si="37"/>
        <v>0</v>
      </c>
      <c r="D143" s="373">
        <f t="shared" si="38"/>
        <v>0</v>
      </c>
      <c r="E143" s="373">
        <f t="shared" si="39"/>
        <v>0</v>
      </c>
      <c r="F143" s="373"/>
      <c r="G143" s="373"/>
      <c r="H143" s="374"/>
      <c r="I143" s="377"/>
      <c r="J143" s="374">
        <f>H163</f>
        <v>0</v>
      </c>
      <c r="K143" s="377">
        <v>-1</v>
      </c>
      <c r="L143" s="374">
        <f>IF((D143-E143+F143-G143+H143-J143)&gt;0,D143-E143+F143-G143+H143-J143,0)</f>
        <v>0</v>
      </c>
      <c r="M143" s="376">
        <f>IF((D143-E143+F143-G143+H143-J143)&lt;0,-(D143-E143+F143-G143+H143-J143),0)</f>
        <v>0</v>
      </c>
      <c r="N143" s="373"/>
      <c r="O143" s="373"/>
    </row>
    <row r="144" spans="1:15">
      <c r="A144" s="171" t="s">
        <v>240</v>
      </c>
      <c r="B144" s="376">
        <f>Circulantes!Q25</f>
        <v>0</v>
      </c>
      <c r="C144" s="373">
        <f t="shared" si="37"/>
        <v>0</v>
      </c>
      <c r="D144" s="373">
        <f>IF((B144-C144)&gt;0,B144-C144,0)</f>
        <v>0</v>
      </c>
      <c r="E144" s="373">
        <f>IF((B144-C144)&lt;0,C144-B144,0)</f>
        <v>0</v>
      </c>
      <c r="F144" s="373"/>
      <c r="G144" s="373">
        <f>D144</f>
        <v>0</v>
      </c>
      <c r="H144" s="374"/>
      <c r="I144" s="377"/>
      <c r="J144" s="374"/>
      <c r="K144" s="377"/>
      <c r="L144" s="374">
        <f>IF((D144-E144+F144-G144+H144-J144)&gt;0,D144-E144+F144-G144+H144-J144,0)</f>
        <v>0</v>
      </c>
      <c r="M144" s="376">
        <f>IF((D144-E144+F144-G144+H144-J144)&lt;0,-(D144-E144+F144-G144+H144-J144),0)</f>
        <v>0</v>
      </c>
      <c r="N144" s="373"/>
      <c r="O144" s="373"/>
    </row>
    <row r="145" spans="1:15">
      <c r="A145" s="375" t="s">
        <v>173</v>
      </c>
      <c r="B145" s="376">
        <f>Circulantes!Q26</f>
        <v>0</v>
      </c>
      <c r="C145" s="373">
        <f t="shared" si="37"/>
        <v>0</v>
      </c>
      <c r="D145" s="373">
        <f t="shared" si="38"/>
        <v>0</v>
      </c>
      <c r="E145" s="373">
        <f t="shared" si="39"/>
        <v>0</v>
      </c>
      <c r="F145" s="373"/>
      <c r="G145" s="373"/>
      <c r="H145" s="374"/>
      <c r="I145" s="377"/>
      <c r="J145" s="374"/>
      <c r="K145" s="377"/>
      <c r="L145" s="374">
        <f>IF((D145-E145+F145-G145+H145-J145)&gt;0,D145-E145+F145-G145+H145-J145,0)</f>
        <v>0</v>
      </c>
      <c r="M145" s="376">
        <f>IF((D145-E145+F145-G145+H145-J145)&lt;0,-(D145-E145+F145-G145+H145-J145),0)</f>
        <v>0</v>
      </c>
      <c r="N145" s="373"/>
      <c r="O145" s="373"/>
    </row>
    <row r="146" spans="1:15">
      <c r="A146" s="378" t="s">
        <v>53</v>
      </c>
      <c r="B146" s="379">
        <f>Balances!L14</f>
        <v>0</v>
      </c>
      <c r="C146" s="380">
        <f t="shared" si="37"/>
        <v>0</v>
      </c>
      <c r="D146" s="380">
        <f t="shared" si="38"/>
        <v>0</v>
      </c>
      <c r="E146" s="380">
        <f t="shared" si="39"/>
        <v>0</v>
      </c>
      <c r="F146" s="381"/>
      <c r="G146" s="381"/>
      <c r="H146" s="382"/>
      <c r="I146" s="393"/>
      <c r="J146" s="382"/>
      <c r="K146" s="393"/>
      <c r="L146" s="379">
        <f>IF((SUM(L138:L145)+SUM(L147:L176)-SUM(M147:M176)-SUM(M138:M145))&lt;0,-(SUM(L138:L145)+SUM(L147:L176)-SUM(M147:M176)-SUM(M138:M145)),0)</f>
        <v>0</v>
      </c>
      <c r="M146" s="379">
        <f>IF((SUM(L138:L145)+SUM(L147:L176)-SUM(M147:M176)-SUM(M138:M145))&gt;0,SUM(L138:L145)+SUM(L147:L176)-SUM(M147:M176)-SUM(M138:M145),0)</f>
        <v>0</v>
      </c>
      <c r="N146" s="379">
        <f>IF((SUM(N138:N145)+SUM(N147:N176)-SUM(O147:O176)-SUM(O138:O145))&lt;0,-(SUM(N138:N145)+SUM(N147:N176)-SUM(O147:O176)-SUM(O138:O145)),0)</f>
        <v>0</v>
      </c>
      <c r="O146" s="379">
        <f>IF((SUM(N138:N145)+SUM(N147:N176)-SUM(O147:O176)-SUM(O138:O145))&gt;0,SUM(N138:N145)+SUM(N147:N176)-SUM(O147:O176)-SUM(O138:O145),0)</f>
        <v>0</v>
      </c>
    </row>
    <row r="147" spans="1:15">
      <c r="A147" s="371" t="s">
        <v>71</v>
      </c>
      <c r="B147" s="373"/>
      <c r="C147" s="373"/>
      <c r="D147" s="373"/>
      <c r="E147" s="373"/>
      <c r="F147" s="373"/>
      <c r="G147" s="373"/>
      <c r="H147" s="374"/>
      <c r="I147" s="377"/>
      <c r="J147" s="374"/>
      <c r="K147" s="377"/>
      <c r="L147" s="374">
        <f>IF((D147-E147+F147-G147+H147-J147)&gt;0,D147-E147+F147-G147+H147-J147,0)</f>
        <v>0</v>
      </c>
      <c r="M147" s="376">
        <f>IF((D147-E147+F147-G147+H147-J147)&lt;0,-(D147-E147+F147-G147+H147-J147),0)</f>
        <v>0</v>
      </c>
      <c r="N147" s="373"/>
      <c r="O147" s="373"/>
    </row>
    <row r="148" spans="1:15">
      <c r="A148" s="375" t="s">
        <v>65</v>
      </c>
      <c r="B148" s="376">
        <f>Balances!L17</f>
        <v>0</v>
      </c>
      <c r="C148" s="373">
        <f t="shared" ref="C148:C162" si="40">B104</f>
        <v>0</v>
      </c>
      <c r="D148" s="373">
        <f t="shared" ref="D148:D162" si="41">IF((B148-C148)&lt;0,C148-B148,0)</f>
        <v>0</v>
      </c>
      <c r="E148" s="373">
        <f t="shared" ref="E148:E162" si="42">IF((B148-C148)&gt;0,B148-C148,0)</f>
        <v>0</v>
      </c>
      <c r="F148" s="373"/>
      <c r="G148" s="373"/>
      <c r="H148" s="374"/>
      <c r="I148" s="377"/>
      <c r="J148" s="374"/>
      <c r="K148" s="377"/>
      <c r="M148" s="375"/>
      <c r="N148" s="373">
        <f t="shared" ref="N148:N156" si="43">IF((D148-E148+F148-G148+H148-J148)&gt;0,D148-E148+F148-G148+H148-J148,0)</f>
        <v>0</v>
      </c>
      <c r="O148" s="373">
        <f t="shared" ref="O148:O156" si="44">IF((D148-E148+F148-G148+H148-J148)&lt;0,-(D148-E148+F148-G148+H148-J148),0)</f>
        <v>0</v>
      </c>
    </row>
    <row r="149" spans="1:15">
      <c r="A149" s="375" t="s">
        <v>264</v>
      </c>
      <c r="B149" s="376">
        <f>Balances!L18</f>
        <v>0</v>
      </c>
      <c r="C149" s="373">
        <f t="shared" si="40"/>
        <v>0</v>
      </c>
      <c r="D149" s="373">
        <f t="shared" si="41"/>
        <v>0</v>
      </c>
      <c r="E149" s="373">
        <f t="shared" si="42"/>
        <v>0</v>
      </c>
      <c r="F149" s="373"/>
      <c r="G149" s="373"/>
      <c r="H149" s="374"/>
      <c r="I149" s="377"/>
      <c r="J149" s="374"/>
      <c r="K149" s="377"/>
      <c r="M149" s="375"/>
      <c r="N149" s="373">
        <f t="shared" si="43"/>
        <v>0</v>
      </c>
      <c r="O149" s="373">
        <f t="shared" si="44"/>
        <v>0</v>
      </c>
    </row>
    <row r="150" spans="1:15">
      <c r="A150" s="375" t="s">
        <v>73</v>
      </c>
      <c r="B150" s="376">
        <f>Balances!L19</f>
        <v>0</v>
      </c>
      <c r="C150" s="373">
        <f t="shared" si="40"/>
        <v>0</v>
      </c>
      <c r="D150" s="373">
        <f t="shared" si="41"/>
        <v>0</v>
      </c>
      <c r="E150" s="373">
        <f t="shared" si="42"/>
        <v>0</v>
      </c>
      <c r="F150" s="373">
        <f>E150</f>
        <v>0</v>
      </c>
      <c r="G150" s="373">
        <f>D150</f>
        <v>0</v>
      </c>
      <c r="H150" s="374"/>
      <c r="I150" s="377"/>
      <c r="J150" s="374"/>
      <c r="K150" s="377"/>
      <c r="M150" s="375"/>
      <c r="N150" s="373">
        <f t="shared" si="43"/>
        <v>0</v>
      </c>
      <c r="O150" s="373">
        <f t="shared" si="44"/>
        <v>0</v>
      </c>
    </row>
    <row r="151" spans="1:15">
      <c r="A151" s="375" t="s">
        <v>448</v>
      </c>
      <c r="B151" s="376">
        <f>Balances!L20</f>
        <v>0</v>
      </c>
      <c r="C151" s="373">
        <f t="shared" si="40"/>
        <v>0</v>
      </c>
      <c r="D151" s="373">
        <f t="shared" si="41"/>
        <v>0</v>
      </c>
      <c r="E151" s="373">
        <f t="shared" si="42"/>
        <v>0</v>
      </c>
      <c r="F151" s="373">
        <f>E151</f>
        <v>0</v>
      </c>
      <c r="G151" s="373">
        <f>D151</f>
        <v>0</v>
      </c>
      <c r="H151" s="374"/>
      <c r="I151" s="373"/>
      <c r="J151" s="374"/>
      <c r="K151" s="373"/>
      <c r="M151" s="375"/>
      <c r="N151" s="373">
        <f t="shared" si="43"/>
        <v>0</v>
      </c>
      <c r="O151" s="373">
        <f t="shared" si="44"/>
        <v>0</v>
      </c>
    </row>
    <row r="152" spans="1:15">
      <c r="A152" s="375" t="s">
        <v>450</v>
      </c>
      <c r="B152" s="376">
        <f>Balances!L21</f>
        <v>0</v>
      </c>
      <c r="C152" s="373">
        <f t="shared" si="40"/>
        <v>0</v>
      </c>
      <c r="D152" s="373">
        <f t="shared" si="41"/>
        <v>0</v>
      </c>
      <c r="E152" s="373">
        <f t="shared" si="42"/>
        <v>0</v>
      </c>
      <c r="F152" s="373">
        <f>G176+G151</f>
        <v>0</v>
      </c>
      <c r="G152" s="373">
        <f>F176+F151</f>
        <v>0</v>
      </c>
      <c r="H152" s="374"/>
      <c r="I152" s="373"/>
      <c r="J152" s="374"/>
      <c r="K152" s="373"/>
      <c r="M152" s="375"/>
      <c r="N152" s="373">
        <f t="shared" si="43"/>
        <v>0</v>
      </c>
      <c r="O152" s="373">
        <f t="shared" si="44"/>
        <v>0</v>
      </c>
    </row>
    <row r="153" spans="1:15">
      <c r="A153" s="375" t="s">
        <v>449</v>
      </c>
      <c r="B153" s="376">
        <f>Balances!L22</f>
        <v>0</v>
      </c>
      <c r="C153" s="373">
        <f t="shared" si="40"/>
        <v>0</v>
      </c>
      <c r="D153" s="373">
        <f>IF((B153-C153)&lt;0,C153-B153,0)</f>
        <v>0</v>
      </c>
      <c r="E153" s="373">
        <f>IF((B153-C153)&gt;0,B153-C153,0)</f>
        <v>0</v>
      </c>
      <c r="F153" s="373"/>
      <c r="G153" s="373"/>
      <c r="H153" s="374"/>
      <c r="I153" s="377"/>
      <c r="J153" s="374"/>
      <c r="K153" s="377"/>
      <c r="M153" s="375"/>
      <c r="N153" s="373">
        <f>IF((D153-E153+F153-G153+H153-J153)&gt;0,D153-E153+F153-G153+H153-J153,0)</f>
        <v>0</v>
      </c>
      <c r="O153" s="373">
        <f>IF((D153-E153+F153-G153+H153-J153)&lt;0,-(D153-E153+F153-G153+H153-J153),0)</f>
        <v>0</v>
      </c>
    </row>
    <row r="154" spans="1:15">
      <c r="A154" s="375" t="s">
        <v>153</v>
      </c>
      <c r="B154" s="376">
        <f>Balances!L23</f>
        <v>0</v>
      </c>
      <c r="C154" s="373">
        <f t="shared" si="40"/>
        <v>0</v>
      </c>
      <c r="D154" s="373">
        <f t="shared" si="41"/>
        <v>0</v>
      </c>
      <c r="E154" s="373">
        <f t="shared" si="42"/>
        <v>0</v>
      </c>
      <c r="F154" s="373"/>
      <c r="G154" s="373">
        <f>F167</f>
        <v>0</v>
      </c>
      <c r="H154" s="374"/>
      <c r="I154" s="377"/>
      <c r="J154" s="374"/>
      <c r="K154" s="377"/>
      <c r="M154" s="375"/>
      <c r="N154" s="373">
        <f t="shared" si="43"/>
        <v>0</v>
      </c>
      <c r="O154" s="373">
        <f t="shared" si="44"/>
        <v>0</v>
      </c>
    </row>
    <row r="155" spans="1:15">
      <c r="A155" s="403" t="s">
        <v>271</v>
      </c>
      <c r="B155" s="376">
        <f>Balances!L25</f>
        <v>0</v>
      </c>
      <c r="C155" s="373">
        <f t="shared" si="40"/>
        <v>0</v>
      </c>
      <c r="D155" s="373">
        <f t="shared" si="41"/>
        <v>0</v>
      </c>
      <c r="E155" s="373">
        <f t="shared" si="42"/>
        <v>0</v>
      </c>
      <c r="F155" s="373"/>
      <c r="G155" s="373"/>
      <c r="H155" s="374"/>
      <c r="I155" s="377"/>
      <c r="J155" s="374"/>
      <c r="K155" s="377"/>
      <c r="M155" s="375"/>
      <c r="N155" s="373">
        <f t="shared" si="43"/>
        <v>0</v>
      </c>
      <c r="O155" s="373">
        <f t="shared" si="44"/>
        <v>0</v>
      </c>
    </row>
    <row r="156" spans="1:15">
      <c r="A156" s="403" t="s">
        <v>272</v>
      </c>
      <c r="B156" s="376">
        <f>Balances!L26</f>
        <v>0</v>
      </c>
      <c r="C156" s="373">
        <f t="shared" si="40"/>
        <v>0</v>
      </c>
      <c r="D156" s="373">
        <f>IF((B156-C156)&lt;0,C156-B156,0)</f>
        <v>0</v>
      </c>
      <c r="E156" s="373">
        <f>IF((B156-C156)&gt;0,B156-C156,0)</f>
        <v>0</v>
      </c>
      <c r="F156" s="373"/>
      <c r="G156" s="373"/>
      <c r="H156" s="374"/>
      <c r="I156" s="377"/>
      <c r="J156" s="374"/>
      <c r="K156" s="377"/>
      <c r="M156" s="375"/>
      <c r="N156" s="373">
        <f t="shared" si="43"/>
        <v>0</v>
      </c>
      <c r="O156" s="373">
        <f t="shared" si="44"/>
        <v>0</v>
      </c>
    </row>
    <row r="157" spans="1:15">
      <c r="A157" s="403" t="s">
        <v>329</v>
      </c>
      <c r="B157" s="376">
        <f>Balances!L28</f>
        <v>0</v>
      </c>
      <c r="C157" s="373">
        <f t="shared" si="40"/>
        <v>0</v>
      </c>
      <c r="D157" s="373">
        <f t="shared" si="41"/>
        <v>0</v>
      </c>
      <c r="E157" s="373">
        <f t="shared" si="42"/>
        <v>0</v>
      </c>
      <c r="F157" s="373"/>
      <c r="G157" s="373"/>
      <c r="H157" s="374"/>
      <c r="I157" s="377"/>
      <c r="J157" s="374"/>
      <c r="K157" s="377"/>
      <c r="L157" s="374">
        <f t="shared" ref="L157:L165" si="45">IF((D157-E157+F157-G157+H157-J157)&gt;0,D157-E157+F157-G157+H157-J157,0)</f>
        <v>0</v>
      </c>
      <c r="M157" s="376">
        <f>IF((D157-E157+F157-G157+H157-J157)&lt;0,-(D157-E157+F157-G157+H157-J157),0)</f>
        <v>0</v>
      </c>
      <c r="N157" s="373"/>
      <c r="O157" s="373"/>
    </row>
    <row r="158" spans="1:15">
      <c r="A158" s="375" t="str">
        <f>A114</f>
        <v>Acreedores comerciales</v>
      </c>
      <c r="B158" s="376">
        <f>Balances!L29</f>
        <v>0</v>
      </c>
      <c r="C158" s="373">
        <f t="shared" si="40"/>
        <v>0</v>
      </c>
      <c r="D158" s="373">
        <f t="shared" si="41"/>
        <v>0</v>
      </c>
      <c r="E158" s="373">
        <f t="shared" si="42"/>
        <v>0</v>
      </c>
      <c r="F158" s="373"/>
      <c r="G158" s="373"/>
      <c r="H158" s="374">
        <f>J169</f>
        <v>0</v>
      </c>
      <c r="I158" s="394">
        <v>-2</v>
      </c>
      <c r="J158" s="374"/>
      <c r="K158" s="377"/>
      <c r="L158" s="373">
        <f t="shared" si="45"/>
        <v>0</v>
      </c>
      <c r="M158" s="373">
        <f t="shared" ref="M158:M163" si="46">IF((D158-E158+F158-G158+H158-J158)&lt;0,-(D158-E158+F158-G158+H158-J158),0)</f>
        <v>0</v>
      </c>
      <c r="N158" s="373"/>
      <c r="O158" s="373"/>
    </row>
    <row r="159" spans="1:15">
      <c r="A159" s="375" t="s">
        <v>55</v>
      </c>
      <c r="B159" s="376">
        <f>Balances!L30</f>
        <v>0</v>
      </c>
      <c r="C159" s="373">
        <f t="shared" si="40"/>
        <v>0</v>
      </c>
      <c r="D159" s="373">
        <f t="shared" si="41"/>
        <v>0</v>
      </c>
      <c r="E159" s="373">
        <f t="shared" si="42"/>
        <v>0</v>
      </c>
      <c r="F159" s="373"/>
      <c r="G159" s="373"/>
      <c r="H159" s="364">
        <f>J175</f>
        <v>0</v>
      </c>
      <c r="I159" s="394">
        <v>-5</v>
      </c>
      <c r="J159" s="374"/>
      <c r="K159" s="377"/>
      <c r="L159" s="373"/>
      <c r="M159" s="373"/>
      <c r="N159" s="373">
        <f>IF((D159-E159+F159-G159+H159-J159)&gt;0,D159-E159+F159-G159+H159-J159,0)</f>
        <v>0</v>
      </c>
      <c r="O159" s="373">
        <f>IF((D159-E159+F159-G159+H159-J159)&lt;0,-(D159-E159+F159-G159+H159-J159),0)</f>
        <v>0</v>
      </c>
    </row>
    <row r="160" spans="1:15">
      <c r="A160" s="375" t="str">
        <f>A116</f>
        <v>H.P. acreedora por distintos conceptos</v>
      </c>
      <c r="B160" s="376">
        <f>Balances!L31</f>
        <v>0</v>
      </c>
      <c r="C160" s="373">
        <f t="shared" si="40"/>
        <v>0</v>
      </c>
      <c r="D160" s="373">
        <f t="shared" si="41"/>
        <v>0</v>
      </c>
      <c r="E160" s="373">
        <f t="shared" si="42"/>
        <v>0</v>
      </c>
      <c r="F160" s="373">
        <f>G144</f>
        <v>0</v>
      </c>
      <c r="G160" s="373"/>
      <c r="H160" s="364">
        <f>J174+Circulantes!O35</f>
        <v>0</v>
      </c>
      <c r="I160" s="394">
        <v>-3</v>
      </c>
      <c r="J160" s="374"/>
      <c r="K160" s="377"/>
      <c r="L160" s="373">
        <f t="shared" si="45"/>
        <v>0</v>
      </c>
      <c r="M160" s="373">
        <f t="shared" si="46"/>
        <v>0</v>
      </c>
      <c r="N160" s="373"/>
      <c r="O160" s="373"/>
    </row>
    <row r="161" spans="1:15">
      <c r="A161" s="375" t="str">
        <f>A117</f>
        <v>Organismos de la S.S. acreedores</v>
      </c>
      <c r="B161" s="376">
        <f>Balances!L32</f>
        <v>0</v>
      </c>
      <c r="C161" s="373">
        <f t="shared" si="40"/>
        <v>0</v>
      </c>
      <c r="D161" s="373">
        <f t="shared" si="41"/>
        <v>0</v>
      </c>
      <c r="E161" s="373">
        <f t="shared" si="42"/>
        <v>0</v>
      </c>
      <c r="F161" s="373"/>
      <c r="G161" s="373"/>
      <c r="H161" s="364">
        <f>Circulantes!O36</f>
        <v>0</v>
      </c>
      <c r="I161" s="394">
        <v>-4</v>
      </c>
      <c r="J161" s="374"/>
      <c r="K161" s="377"/>
      <c r="L161" s="373">
        <f t="shared" si="45"/>
        <v>0</v>
      </c>
      <c r="M161" s="373">
        <f t="shared" si="46"/>
        <v>0</v>
      </c>
      <c r="N161" s="373"/>
      <c r="O161" s="373"/>
    </row>
    <row r="162" spans="1:15">
      <c r="A162" s="378" t="str">
        <f>A118</f>
        <v>Otras cuentas a pagar no financieras</v>
      </c>
      <c r="B162" s="385">
        <f>Balances!L33</f>
        <v>0</v>
      </c>
      <c r="C162" s="381">
        <f t="shared" si="40"/>
        <v>0</v>
      </c>
      <c r="D162" s="385">
        <f t="shared" si="41"/>
        <v>0</v>
      </c>
      <c r="E162" s="381">
        <f t="shared" si="42"/>
        <v>0</v>
      </c>
      <c r="F162" s="381"/>
      <c r="G162" s="381"/>
      <c r="H162" s="382"/>
      <c r="I162" s="395"/>
      <c r="J162" s="382"/>
      <c r="K162" s="393"/>
      <c r="L162" s="381">
        <f t="shared" si="45"/>
        <v>0</v>
      </c>
      <c r="M162" s="381">
        <f t="shared" si="46"/>
        <v>0</v>
      </c>
      <c r="N162" s="381"/>
      <c r="O162" s="381"/>
    </row>
    <row r="163" spans="1:15">
      <c r="A163" s="375" t="s">
        <v>115</v>
      </c>
      <c r="B163" s="373"/>
      <c r="C163" s="373"/>
      <c r="D163" s="373"/>
      <c r="E163" s="373">
        <f>Resultados!L5</f>
        <v>0</v>
      </c>
      <c r="F163" s="373"/>
      <c r="G163" s="373"/>
      <c r="H163" s="374">
        <f>E163</f>
        <v>0</v>
      </c>
      <c r="I163" s="377">
        <v>-1</v>
      </c>
      <c r="J163" s="374"/>
      <c r="K163" s="377"/>
      <c r="L163" s="373">
        <f t="shared" si="45"/>
        <v>0</v>
      </c>
      <c r="M163" s="373">
        <f t="shared" si="46"/>
        <v>0</v>
      </c>
      <c r="N163" s="373"/>
      <c r="O163" s="373"/>
    </row>
    <row r="164" spans="1:15">
      <c r="A164" s="375" t="s">
        <v>42</v>
      </c>
      <c r="B164" s="373"/>
      <c r="C164" s="373"/>
      <c r="D164" s="373"/>
      <c r="E164" s="373">
        <f>Resultados!L6</f>
        <v>0</v>
      </c>
      <c r="F164" s="373">
        <f>E164</f>
        <v>0</v>
      </c>
      <c r="G164" s="373">
        <f>D164</f>
        <v>0</v>
      </c>
      <c r="H164" s="374"/>
      <c r="I164" s="377"/>
      <c r="J164" s="374"/>
      <c r="K164" s="377"/>
      <c r="L164" s="373">
        <f t="shared" si="45"/>
        <v>0</v>
      </c>
      <c r="M164" s="373">
        <f>IF((D164-E164+F164-G164+H164-J164)&lt;0,-(D164-E164+F164-G164+H164-J164),0)</f>
        <v>0</v>
      </c>
      <c r="N164" s="373"/>
      <c r="O164" s="373"/>
    </row>
    <row r="165" spans="1:15">
      <c r="A165" s="654" t="s">
        <v>298</v>
      </c>
      <c r="B165" s="373"/>
      <c r="C165" s="373"/>
      <c r="D165" s="373"/>
      <c r="E165" s="373">
        <f>Resultados!L7</f>
        <v>0</v>
      </c>
      <c r="F165" s="373"/>
      <c r="G165" s="373"/>
      <c r="H165" s="374"/>
      <c r="I165" s="377"/>
      <c r="J165" s="374"/>
      <c r="K165" s="377"/>
      <c r="L165" s="373">
        <f t="shared" si="45"/>
        <v>0</v>
      </c>
      <c r="M165" s="373">
        <f>IF((D165-E165+F165-G165+H165-J165)&lt;0,-(D165-E165+F165-G165+H165-J165),0)</f>
        <v>0</v>
      </c>
      <c r="N165" s="373"/>
      <c r="O165" s="373"/>
    </row>
    <row r="166" spans="1:15">
      <c r="A166" s="654" t="s">
        <v>235</v>
      </c>
      <c r="B166" s="373"/>
      <c r="C166" s="373"/>
      <c r="D166" s="373"/>
      <c r="E166" s="373">
        <f>Resultados!L8+Resultados!L9</f>
        <v>0</v>
      </c>
      <c r="F166" s="373">
        <f>E166</f>
        <v>0</v>
      </c>
      <c r="G166" s="373"/>
      <c r="H166" s="374"/>
      <c r="I166" s="377"/>
      <c r="J166" s="374"/>
      <c r="K166" s="377"/>
      <c r="L166" s="373"/>
      <c r="M166" s="373"/>
      <c r="N166" s="373"/>
      <c r="O166" s="373"/>
    </row>
    <row r="167" spans="1:15">
      <c r="A167" s="654" t="s">
        <v>245</v>
      </c>
      <c r="B167" s="373"/>
      <c r="C167" s="373"/>
      <c r="D167" s="373"/>
      <c r="E167" s="373">
        <f>Resultados!L10</f>
        <v>0</v>
      </c>
      <c r="F167" s="373">
        <f>E167</f>
        <v>0</v>
      </c>
      <c r="G167" s="373"/>
      <c r="H167" s="374"/>
      <c r="I167" s="377"/>
      <c r="J167" s="374"/>
      <c r="K167" s="377"/>
      <c r="L167" s="373"/>
      <c r="M167" s="373"/>
      <c r="N167" s="373"/>
      <c r="O167" s="373"/>
    </row>
    <row r="168" spans="1:15">
      <c r="A168" s="654" t="s">
        <v>165</v>
      </c>
      <c r="B168" s="373"/>
      <c r="C168" s="373"/>
      <c r="D168" s="373"/>
      <c r="E168" s="373">
        <f>Resultados!L11</f>
        <v>0</v>
      </c>
      <c r="F168" s="373"/>
      <c r="G168" s="373"/>
      <c r="H168" s="374"/>
      <c r="I168" s="377"/>
      <c r="J168" s="374"/>
      <c r="K168" s="377"/>
      <c r="L168" s="373">
        <f>IF((D168-E168+F168-G168+H168-J168)&gt;0,D168-E168+F168-G168+H168-J168,0)</f>
        <v>0</v>
      </c>
      <c r="M168" s="373">
        <f>IF((D168-E168+F168-G168+H168-J168)&lt;0,-(D168-E168+F168-G168+H168-J168),0)</f>
        <v>0</v>
      </c>
      <c r="N168" s="373"/>
      <c r="O168" s="373"/>
    </row>
    <row r="169" spans="1:15">
      <c r="A169" s="375" t="s">
        <v>116</v>
      </c>
      <c r="B169" s="373"/>
      <c r="C169" s="373"/>
      <c r="D169" s="373">
        <f>-SUM(Resultados!M12:M13)</f>
        <v>0</v>
      </c>
      <c r="E169" s="373"/>
      <c r="F169" s="373"/>
      <c r="G169" s="373"/>
      <c r="H169" s="374"/>
      <c r="I169" s="377"/>
      <c r="J169" s="374">
        <f>D169</f>
        <v>0</v>
      </c>
      <c r="K169" s="377">
        <v>-2</v>
      </c>
      <c r="L169" s="373">
        <f t="shared" ref="L169:L176" si="47">IF((D169-E169+F169-G169+H169-J169)&gt;0,D169-E169+F169-G169+H169-J169,0)</f>
        <v>0</v>
      </c>
      <c r="M169" s="373">
        <f t="shared" ref="M169:M176" si="48">IF((D169-E169+F169-G169+H169-J169)&lt;0,-(D169-E169+F169-G169+H169-J169),0)</f>
        <v>0</v>
      </c>
      <c r="N169" s="373"/>
      <c r="O169" s="373"/>
    </row>
    <row r="170" spans="1:15">
      <c r="A170" s="375" t="s">
        <v>117</v>
      </c>
      <c r="B170" s="373"/>
      <c r="C170" s="373"/>
      <c r="D170" s="373">
        <f>'G. Fijos'!H17</f>
        <v>0</v>
      </c>
      <c r="E170" s="373"/>
      <c r="F170" s="373"/>
      <c r="G170" s="373"/>
      <c r="H170" s="374"/>
      <c r="I170" s="377"/>
      <c r="J170" s="374">
        <f>SUM(Circulantes!O35:O36)</f>
        <v>0</v>
      </c>
      <c r="K170" s="377">
        <v>-3</v>
      </c>
      <c r="L170" s="373">
        <f t="shared" si="47"/>
        <v>0</v>
      </c>
      <c r="M170" s="373">
        <f t="shared" si="48"/>
        <v>0</v>
      </c>
      <c r="N170" s="373"/>
      <c r="O170" s="373"/>
    </row>
    <row r="171" spans="1:15">
      <c r="A171" s="375" t="s">
        <v>118</v>
      </c>
      <c r="B171" s="373"/>
      <c r="C171" s="373"/>
      <c r="D171" s="373">
        <f>'G. Fijos'!H18</f>
        <v>0</v>
      </c>
      <c r="E171" s="373"/>
      <c r="F171" s="373"/>
      <c r="G171" s="373">
        <f>D171</f>
        <v>0</v>
      </c>
      <c r="H171" s="374"/>
      <c r="I171" s="377"/>
      <c r="J171" s="374"/>
      <c r="K171" s="377"/>
      <c r="L171" s="373">
        <f t="shared" si="47"/>
        <v>0</v>
      </c>
      <c r="M171" s="373">
        <f t="shared" si="48"/>
        <v>0</v>
      </c>
      <c r="N171" s="373"/>
      <c r="O171" s="373"/>
    </row>
    <row r="172" spans="1:15">
      <c r="A172" s="375" t="s">
        <v>119</v>
      </c>
      <c r="B172" s="373"/>
      <c r="C172" s="373"/>
      <c r="D172" s="373">
        <f>'G. Fijos'!H5</f>
        <v>0</v>
      </c>
      <c r="E172" s="373"/>
      <c r="F172" s="373"/>
      <c r="G172" s="373"/>
      <c r="H172" s="374"/>
      <c r="I172" s="377"/>
      <c r="J172" s="374"/>
      <c r="K172" s="377"/>
      <c r="L172" s="373">
        <f t="shared" si="47"/>
        <v>0</v>
      </c>
      <c r="M172" s="373">
        <f t="shared" si="48"/>
        <v>0</v>
      </c>
      <c r="N172" s="373"/>
      <c r="O172" s="373"/>
    </row>
    <row r="173" spans="1:15">
      <c r="A173" s="375" t="s">
        <v>120</v>
      </c>
      <c r="B173" s="373"/>
      <c r="C173" s="373"/>
      <c r="D173" s="373">
        <f>'G. Fijos'!H21</f>
        <v>0</v>
      </c>
      <c r="E173" s="373"/>
      <c r="F173" s="373"/>
      <c r="G173" s="373"/>
      <c r="H173" s="374"/>
      <c r="I173" s="377"/>
      <c r="J173" s="374"/>
      <c r="K173" s="377"/>
      <c r="L173" s="373">
        <f t="shared" si="47"/>
        <v>0</v>
      </c>
      <c r="M173" s="373">
        <f t="shared" si="48"/>
        <v>0</v>
      </c>
      <c r="N173" s="373"/>
      <c r="O173" s="373"/>
    </row>
    <row r="174" spans="1:15">
      <c r="A174" s="375" t="s">
        <v>45</v>
      </c>
      <c r="B174" s="373"/>
      <c r="C174" s="373"/>
      <c r="D174" s="373">
        <f>-Resultados!M23</f>
        <v>0</v>
      </c>
      <c r="E174" s="373"/>
      <c r="F174" s="373"/>
      <c r="G174" s="373"/>
      <c r="H174" s="374"/>
      <c r="I174" s="377"/>
      <c r="J174" s="374">
        <f>D174</f>
        <v>0</v>
      </c>
      <c r="K174" s="377">
        <v>-3</v>
      </c>
      <c r="L174" s="373">
        <f t="shared" si="47"/>
        <v>0</v>
      </c>
      <c r="M174" s="373">
        <f t="shared" si="48"/>
        <v>0</v>
      </c>
      <c r="N174" s="373"/>
      <c r="O174" s="373"/>
    </row>
    <row r="175" spans="1:15">
      <c r="A175" s="375" t="s">
        <v>55</v>
      </c>
      <c r="B175" s="373"/>
      <c r="C175" s="373"/>
      <c r="D175" s="373">
        <f>-Resultados!M25</f>
        <v>0</v>
      </c>
      <c r="E175" s="373"/>
      <c r="F175" s="373"/>
      <c r="G175" s="373"/>
      <c r="H175" s="374"/>
      <c r="I175" s="377"/>
      <c r="J175" s="374">
        <f>D175</f>
        <v>0</v>
      </c>
      <c r="K175" s="377">
        <v>-5</v>
      </c>
      <c r="L175" s="373">
        <f t="shared" si="47"/>
        <v>0</v>
      </c>
      <c r="M175" s="373">
        <f t="shared" si="48"/>
        <v>0</v>
      </c>
      <c r="N175" s="373"/>
      <c r="O175" s="373"/>
    </row>
    <row r="176" spans="1:15">
      <c r="A176" s="378" t="s">
        <v>121</v>
      </c>
      <c r="B176" s="381"/>
      <c r="C176" s="381"/>
      <c r="D176" s="373">
        <f>IF(SUM(E163:E168)-SUM(D169:D175)&gt;0,SUM(E163:E168)-SUM(D169:D175),0)</f>
        <v>0</v>
      </c>
      <c r="E176" s="373">
        <f>IF(SUM(D169:D175)-SUM(E163:E168)&gt;0,SUM(D169:D175)-SUM(E163:E168),0)</f>
        <v>0</v>
      </c>
      <c r="F176" s="381">
        <f>E176</f>
        <v>0</v>
      </c>
      <c r="G176" s="381">
        <f>D176</f>
        <v>0</v>
      </c>
      <c r="H176" s="382"/>
      <c r="I176" s="393"/>
      <c r="J176" s="382"/>
      <c r="K176" s="377"/>
      <c r="L176" s="373">
        <f t="shared" si="47"/>
        <v>0</v>
      </c>
      <c r="M176" s="373">
        <f t="shared" si="48"/>
        <v>0</v>
      </c>
      <c r="N176" s="381"/>
      <c r="O176" s="381"/>
    </row>
    <row r="177" spans="1:15">
      <c r="A177" s="396" t="s">
        <v>122</v>
      </c>
      <c r="B177" s="379">
        <f>SUM(B138:B146)-SUM(B148:B162)</f>
        <v>0</v>
      </c>
      <c r="C177" s="379">
        <f>SUM(C138:C146)-SUM(C148:C162)</f>
        <v>0</v>
      </c>
      <c r="D177" s="379">
        <f>SUM(D138:D176)</f>
        <v>0</v>
      </c>
      <c r="E177" s="379">
        <f>SUM(E138:E176)</f>
        <v>0</v>
      </c>
      <c r="F177" s="379">
        <f>SUM(F138:F176)</f>
        <v>0</v>
      </c>
      <c r="G177" s="379">
        <f>SUM(G138:G176)</f>
        <v>0</v>
      </c>
      <c r="H177" s="397">
        <f>SUM(H138:H176)</f>
        <v>0</v>
      </c>
      <c r="I177" s="398"/>
      <c r="J177" s="397">
        <f>SUM(J138:J176)</f>
        <v>0</v>
      </c>
      <c r="K177" s="398"/>
      <c r="L177" s="379">
        <f>SUM(L138:L176)</f>
        <v>0</v>
      </c>
      <c r="M177" s="379">
        <f>SUM(M138:M176)</f>
        <v>0</v>
      </c>
      <c r="N177" s="379">
        <f>SUM(N138:N176)</f>
        <v>0</v>
      </c>
      <c r="O177" s="379">
        <f>SUM(O138:O176)</f>
        <v>0</v>
      </c>
    </row>
    <row r="178" spans="1:15" ht="8.25" customHeight="1">
      <c r="O178" s="365"/>
    </row>
    <row r="179" spans="1:15" s="369" customFormat="1">
      <c r="A179" s="1081" t="s">
        <v>102</v>
      </c>
      <c r="B179" s="1083" t="s">
        <v>326</v>
      </c>
      <c r="C179" s="1083" t="s">
        <v>325</v>
      </c>
      <c r="D179" s="366" t="s">
        <v>104</v>
      </c>
      <c r="E179" s="367"/>
      <c r="F179" s="368" t="s">
        <v>105</v>
      </c>
      <c r="G179" s="368"/>
      <c r="H179" s="366" t="s">
        <v>106</v>
      </c>
      <c r="I179" s="368"/>
      <c r="J179" s="367"/>
      <c r="K179" s="368"/>
      <c r="L179" s="366" t="s">
        <v>107</v>
      </c>
      <c r="M179" s="367"/>
      <c r="N179" s="366" t="s">
        <v>108</v>
      </c>
      <c r="O179" s="367"/>
    </row>
    <row r="180" spans="1:15" s="369" customFormat="1">
      <c r="A180" s="1082"/>
      <c r="B180" s="1084"/>
      <c r="C180" s="1084"/>
      <c r="D180" s="370" t="s">
        <v>323</v>
      </c>
      <c r="E180" s="370" t="s">
        <v>324</v>
      </c>
      <c r="F180" s="370" t="s">
        <v>109</v>
      </c>
      <c r="G180" s="370" t="s">
        <v>110</v>
      </c>
      <c r="H180" s="366" t="s">
        <v>109</v>
      </c>
      <c r="I180" s="367"/>
      <c r="J180" s="366" t="s">
        <v>110</v>
      </c>
      <c r="K180" s="367"/>
      <c r="L180" s="370" t="s">
        <v>111</v>
      </c>
      <c r="M180" s="370" t="s">
        <v>112</v>
      </c>
      <c r="N180" s="370" t="s">
        <v>113</v>
      </c>
      <c r="O180" s="370" t="s">
        <v>112</v>
      </c>
    </row>
    <row r="181" spans="1:15">
      <c r="A181" s="371" t="s">
        <v>69</v>
      </c>
      <c r="B181" s="372"/>
      <c r="C181" s="373"/>
      <c r="D181" s="373"/>
      <c r="E181" s="373"/>
      <c r="F181" s="373"/>
      <c r="G181" s="373"/>
      <c r="H181" s="374"/>
      <c r="I181" s="373"/>
      <c r="J181" s="374"/>
      <c r="K181" s="373"/>
      <c r="L181" s="373"/>
      <c r="M181" s="373"/>
      <c r="N181" s="373"/>
      <c r="O181" s="373"/>
    </row>
    <row r="182" spans="1:15">
      <c r="A182" s="375" t="s">
        <v>166</v>
      </c>
      <c r="B182" s="376">
        <f>Balances!N4+Balances!N6</f>
        <v>0</v>
      </c>
      <c r="C182" s="373">
        <f t="shared" ref="C182:C190" si="49">B138</f>
        <v>0</v>
      </c>
      <c r="D182" s="373">
        <f t="shared" ref="D182:D190" si="50">IF((B182-C182)&gt;0,B182-C182,0)</f>
        <v>0</v>
      </c>
      <c r="E182" s="373">
        <f t="shared" ref="E182:E190" si="51">IF((B182-C182)&lt;0,C182-B182,0)</f>
        <v>0</v>
      </c>
      <c r="F182" s="373"/>
      <c r="G182" s="373">
        <f>F210</f>
        <v>0</v>
      </c>
      <c r="H182" s="374"/>
      <c r="I182" s="373"/>
      <c r="J182" s="374"/>
      <c r="K182" s="373"/>
      <c r="M182" s="375"/>
      <c r="N182" s="373">
        <f>IF((D182-E182+F182-G182+H182-J182)&gt;0,D182-E182+F182-G182+H182-J182,0)</f>
        <v>0</v>
      </c>
      <c r="O182" s="373">
        <f>IF((D182-E182+F182-G182+H182-J182)&lt;0,-(D182-E182+F182-G182+H182-J182),0)</f>
        <v>0</v>
      </c>
    </row>
    <row r="183" spans="1:15">
      <c r="A183" s="375" t="s">
        <v>114</v>
      </c>
      <c r="B183" s="376">
        <f>Balances!N5+Balances!N7</f>
        <v>0</v>
      </c>
      <c r="C183" s="373">
        <f t="shared" si="49"/>
        <v>0</v>
      </c>
      <c r="D183" s="373">
        <f t="shared" si="50"/>
        <v>0</v>
      </c>
      <c r="E183" s="373">
        <f t="shared" si="51"/>
        <v>0</v>
      </c>
      <c r="F183" s="373">
        <f>E183</f>
        <v>0</v>
      </c>
      <c r="G183" s="373"/>
      <c r="H183" s="374"/>
      <c r="I183" s="373"/>
      <c r="J183" s="374"/>
      <c r="K183" s="373"/>
      <c r="M183" s="375"/>
      <c r="N183" s="373">
        <f>IF((D183-E183+F183-G183+H183-J183)&gt;0,D183-E183+F183-G183+H183-J183,0)</f>
        <v>0</v>
      </c>
      <c r="O183" s="373">
        <f>IF((D183-E183+F183-G183+H183-J183)&lt;0,-(D183-E183+F183-G183+H183-J183),0)</f>
        <v>0</v>
      </c>
    </row>
    <row r="184" spans="1:15">
      <c r="A184" s="375" t="s">
        <v>167</v>
      </c>
      <c r="B184" s="376">
        <f>Balances!N8</f>
        <v>0</v>
      </c>
      <c r="C184" s="373">
        <f t="shared" si="49"/>
        <v>0</v>
      </c>
      <c r="D184" s="373">
        <f t="shared" si="50"/>
        <v>0</v>
      </c>
      <c r="E184" s="373">
        <f t="shared" si="51"/>
        <v>0</v>
      </c>
      <c r="F184" s="373"/>
      <c r="G184" s="373"/>
      <c r="H184" s="374"/>
      <c r="I184" s="373"/>
      <c r="J184" s="374"/>
      <c r="K184" s="373"/>
      <c r="M184" s="375"/>
      <c r="N184" s="373">
        <f>IF((D184-E184+F184-G184+H184-J184)&gt;0,D184-E184+F184-G184+H184-J184,0)</f>
        <v>0</v>
      </c>
      <c r="O184" s="373">
        <f>IF((D184-E184+F184-G184+H184-J184)&lt;0,-(D184-E184+F184-G184+H184-J184),0)</f>
        <v>0</v>
      </c>
    </row>
    <row r="185" spans="1:15">
      <c r="A185" s="375" t="s">
        <v>467</v>
      </c>
      <c r="B185" s="376">
        <f>Balances!N9</f>
        <v>0</v>
      </c>
      <c r="C185" s="373">
        <f t="shared" si="49"/>
        <v>0</v>
      </c>
      <c r="D185" s="373">
        <f>IF((B185-C185)&gt;0,B185-C185,0)</f>
        <v>0</v>
      </c>
      <c r="E185" s="373">
        <f>IF((B185-C185)&lt;0,C185-B185,0)</f>
        <v>0</v>
      </c>
      <c r="F185" s="373"/>
      <c r="G185" s="373"/>
      <c r="H185" s="374"/>
      <c r="I185" s="373"/>
      <c r="J185" s="374"/>
      <c r="K185" s="373"/>
      <c r="M185" s="375"/>
      <c r="N185" s="373"/>
      <c r="O185" s="373"/>
    </row>
    <row r="186" spans="1:15">
      <c r="A186" s="375" t="s">
        <v>319</v>
      </c>
      <c r="B186" s="376">
        <f>Balances!N11</f>
        <v>0</v>
      </c>
      <c r="C186" s="373">
        <f t="shared" si="49"/>
        <v>0</v>
      </c>
      <c r="D186" s="373">
        <f t="shared" si="50"/>
        <v>0</v>
      </c>
      <c r="E186" s="373">
        <f t="shared" si="51"/>
        <v>0</v>
      </c>
      <c r="F186" s="373"/>
      <c r="G186" s="373">
        <f>D186</f>
        <v>0</v>
      </c>
      <c r="H186" s="374"/>
      <c r="I186" s="373"/>
      <c r="J186" s="374"/>
      <c r="K186" s="373"/>
      <c r="L186" s="374">
        <f>IF((D186-E186+F186-G186+H186-J186)&gt;0,D186-E186+F186-G186+H186-J186,0)</f>
        <v>0</v>
      </c>
      <c r="M186" s="376">
        <f>IF((D186-E186+F186-G186+H186-J186)&lt;0,-(D186-E186+F186-G186+H186-J186),0)</f>
        <v>0</v>
      </c>
      <c r="N186" s="373"/>
      <c r="O186" s="373"/>
    </row>
    <row r="187" spans="1:15">
      <c r="A187" s="375" t="s">
        <v>52</v>
      </c>
      <c r="B187" s="376">
        <f>Balances!N12</f>
        <v>0</v>
      </c>
      <c r="C187" s="373">
        <f t="shared" si="49"/>
        <v>0</v>
      </c>
      <c r="D187" s="373">
        <f t="shared" si="50"/>
        <v>0</v>
      </c>
      <c r="E187" s="373">
        <f t="shared" si="51"/>
        <v>0</v>
      </c>
      <c r="F187" s="373"/>
      <c r="G187" s="373"/>
      <c r="H187" s="374"/>
      <c r="I187" s="373"/>
      <c r="J187" s="374">
        <f>H207</f>
        <v>0</v>
      </c>
      <c r="K187" s="377">
        <v>-1</v>
      </c>
      <c r="L187" s="374">
        <f>IF((D187-E187+F187-G187+H187-J187)&gt;0,D187-E187+F187-G187+H187-J187,0)</f>
        <v>0</v>
      </c>
      <c r="M187" s="376">
        <f>IF((D187-E187+F187-G187+H187-J187)&lt;0,-(D187-E187+F187-G187+H187-J187),0)</f>
        <v>0</v>
      </c>
      <c r="N187" s="373"/>
      <c r="O187" s="373"/>
    </row>
    <row r="188" spans="1:15">
      <c r="A188" s="171" t="s">
        <v>240</v>
      </c>
      <c r="B188" s="376">
        <f>Circulantes!T25</f>
        <v>0</v>
      </c>
      <c r="C188" s="373">
        <f t="shared" si="49"/>
        <v>0</v>
      </c>
      <c r="D188" s="373">
        <f>IF((B188-C188)&gt;0,B188-C188,0)</f>
        <v>0</v>
      </c>
      <c r="E188" s="373">
        <f>IF((B188-C188)&lt;0,C188-B188,0)</f>
        <v>0</v>
      </c>
      <c r="F188" s="373"/>
      <c r="G188" s="373">
        <f>D188</f>
        <v>0</v>
      </c>
      <c r="H188" s="374"/>
      <c r="I188" s="373"/>
      <c r="J188" s="374"/>
      <c r="K188" s="377"/>
      <c r="L188" s="374">
        <f>IF((D188-E188+F188-G188+H188-J188)&gt;0,D188-E188+F188-G188+H188-J188,0)</f>
        <v>0</v>
      </c>
      <c r="M188" s="376">
        <f>IF((D188-E188+F188-G188+H188-J188)&lt;0,-(D188-E188+F188-G188+H188-J188),0)</f>
        <v>0</v>
      </c>
      <c r="N188" s="373"/>
      <c r="O188" s="373"/>
    </row>
    <row r="189" spans="1:15">
      <c r="A189" s="375" t="s">
        <v>173</v>
      </c>
      <c r="B189" s="376">
        <f>Circulantes!T26</f>
        <v>0</v>
      </c>
      <c r="C189" s="373">
        <f t="shared" si="49"/>
        <v>0</v>
      </c>
      <c r="D189" s="373">
        <f t="shared" si="50"/>
        <v>0</v>
      </c>
      <c r="E189" s="373">
        <f t="shared" si="51"/>
        <v>0</v>
      </c>
      <c r="F189" s="373"/>
      <c r="G189" s="373"/>
      <c r="H189" s="374"/>
      <c r="I189" s="373"/>
      <c r="J189" s="374"/>
      <c r="K189" s="377"/>
      <c r="L189" s="374">
        <f>IF((D189-E189+F189-G189+H189-J189)&gt;0,D189-E189+F189-G189+H189-J189,0)</f>
        <v>0</v>
      </c>
      <c r="M189" s="376">
        <f>IF((D189-E189+F189-G189+H189-J189)&lt;0,-(D189-E189+F189-G189+H189-J189),0)</f>
        <v>0</v>
      </c>
      <c r="N189" s="373"/>
      <c r="O189" s="373"/>
    </row>
    <row r="190" spans="1:15">
      <c r="A190" s="378" t="s">
        <v>53</v>
      </c>
      <c r="B190" s="379">
        <f>Balances!N14</f>
        <v>0</v>
      </c>
      <c r="C190" s="379">
        <f t="shared" si="49"/>
        <v>0</v>
      </c>
      <c r="D190" s="379">
        <f t="shared" si="50"/>
        <v>0</v>
      </c>
      <c r="E190" s="380">
        <f t="shared" si="51"/>
        <v>0</v>
      </c>
      <c r="F190" s="381"/>
      <c r="G190" s="381"/>
      <c r="H190" s="382"/>
      <c r="I190" s="381"/>
      <c r="J190" s="382"/>
      <c r="K190" s="381"/>
      <c r="L190" s="379">
        <f>IF((SUM(L182:L189)+SUM(L191:L220)-SUM(M191:M220)-SUM(M182:M189))&lt;0,-(SUM(L182:L189)+SUM(L191:L220)-SUM(M191:M220)-SUM(M182:M189)),0)</f>
        <v>0</v>
      </c>
      <c r="M190" s="379">
        <f>IF((SUM(L182:L189)+SUM(L191:L220)-SUM(M191:M220)-SUM(M182:M189))&gt;0,SUM(L182:L189)+SUM(L191:L220)-SUM(M191:M220)-SUM(M182:M189),0)</f>
        <v>0</v>
      </c>
      <c r="N190" s="379">
        <f>IF((SUM(N182:N189)+SUM(N191:N220)-SUM(O191:O220)-SUM(O182:O189))&lt;0,-(SUM(N182:N189)+SUM(N191:N220)-SUM(O191:O220)-SUM(O182:O189)),0)</f>
        <v>0</v>
      </c>
      <c r="O190" s="379">
        <f>IF((SUM(N182:N189)+SUM(N191:N220)-SUM(O191:O220)-SUM(O182:O189))&gt;0,SUM(N182:N189)+SUM(N191:N220)-SUM(O191:O220)-SUM(O182:O189),0)</f>
        <v>0</v>
      </c>
    </row>
    <row r="191" spans="1:15">
      <c r="A191" s="371" t="s">
        <v>71</v>
      </c>
      <c r="B191" s="373"/>
      <c r="C191" s="373"/>
      <c r="D191" s="373"/>
      <c r="E191" s="373"/>
      <c r="F191" s="373"/>
      <c r="G191" s="373"/>
      <c r="H191" s="374"/>
      <c r="I191" s="373"/>
      <c r="J191" s="374"/>
      <c r="K191" s="373"/>
      <c r="L191" s="374">
        <f>IF((D191-E191+F191-G191+H191-J191)&gt;0,D191-E191+F191-G191+H191-J191,0)</f>
        <v>0</v>
      </c>
      <c r="M191" s="376">
        <f>IF((D191-E191+F191-G191+H191-J191)&lt;0,-(D191-E191+F191-G191+H191-J191),0)</f>
        <v>0</v>
      </c>
      <c r="N191" s="373"/>
      <c r="O191" s="373"/>
    </row>
    <row r="192" spans="1:15">
      <c r="A192" s="375" t="s">
        <v>65</v>
      </c>
      <c r="B192" s="373">
        <f>Balances!N17</f>
        <v>0</v>
      </c>
      <c r="C192" s="373">
        <f t="shared" ref="C192:C200" si="52">B148</f>
        <v>0</v>
      </c>
      <c r="D192" s="373">
        <f>IF((B192-C192)&lt;0,C192-B192,0)</f>
        <v>0</v>
      </c>
      <c r="E192" s="373">
        <f>IF((B192-C192)&gt;0,B192-C192,0)</f>
        <v>0</v>
      </c>
      <c r="F192" s="373"/>
      <c r="G192" s="373"/>
      <c r="H192" s="374"/>
      <c r="I192" s="373"/>
      <c r="J192" s="374"/>
      <c r="K192" s="373"/>
      <c r="M192" s="375"/>
      <c r="N192" s="373">
        <f>IF((D192-E192+F192-G192+H192-J192)&gt;0,D192-E192+F192-G192+H192-J192,0)</f>
        <v>0</v>
      </c>
      <c r="O192" s="373">
        <f>IF((D192-E192+F192-G192+H192-J192)&lt;0,-(D192-E192+F192-G192+H192-J192),0)</f>
        <v>0</v>
      </c>
    </row>
    <row r="193" spans="1:15">
      <c r="A193" s="375" t="s">
        <v>264</v>
      </c>
      <c r="B193" s="373">
        <f>Balances!N18</f>
        <v>0</v>
      </c>
      <c r="C193" s="373">
        <f t="shared" si="52"/>
        <v>0</v>
      </c>
      <c r="D193" s="373">
        <f t="shared" ref="D193:D206" si="53">IF((B193-C193)&lt;0,C193-B193,0)</f>
        <v>0</v>
      </c>
      <c r="E193" s="373">
        <f t="shared" ref="E193:E206" si="54">IF((B193-C193)&gt;0,B193-C193,0)</f>
        <v>0</v>
      </c>
      <c r="F193" s="373"/>
      <c r="G193" s="373"/>
      <c r="H193" s="374"/>
      <c r="I193" s="373"/>
      <c r="J193" s="374"/>
      <c r="K193" s="373"/>
      <c r="M193" s="375"/>
      <c r="N193" s="373"/>
      <c r="O193" s="373"/>
    </row>
    <row r="194" spans="1:15">
      <c r="A194" s="375" t="s">
        <v>73</v>
      </c>
      <c r="B194" s="373">
        <f>Balances!N19</f>
        <v>0</v>
      </c>
      <c r="C194" s="373">
        <f t="shared" si="52"/>
        <v>0</v>
      </c>
      <c r="D194" s="373">
        <f t="shared" si="53"/>
        <v>0</v>
      </c>
      <c r="E194" s="373">
        <f t="shared" si="54"/>
        <v>0</v>
      </c>
      <c r="F194" s="373">
        <f>E194</f>
        <v>0</v>
      </c>
      <c r="G194" s="373">
        <f>D194</f>
        <v>0</v>
      </c>
      <c r="H194" s="374"/>
      <c r="I194" s="373"/>
      <c r="J194" s="374"/>
      <c r="K194" s="373"/>
      <c r="M194" s="375"/>
      <c r="N194" s="373">
        <f t="shared" ref="N194:N200" si="55">IF((D194-E194+F194-G194+H194-J194)&gt;0,D194-E194+F194-G194+H194-J194,0)</f>
        <v>0</v>
      </c>
      <c r="O194" s="373">
        <f t="shared" ref="O194:O200" si="56">IF((D194-E194+F194-G194+H194-J194)&lt;0,-(D194-E194+F194-G194+H194-J194),0)</f>
        <v>0</v>
      </c>
    </row>
    <row r="195" spans="1:15">
      <c r="A195" s="375" t="s">
        <v>448</v>
      </c>
      <c r="B195" s="373">
        <f>Balances!N20</f>
        <v>0</v>
      </c>
      <c r="C195" s="373">
        <f t="shared" si="52"/>
        <v>0</v>
      </c>
      <c r="D195" s="373">
        <f t="shared" si="53"/>
        <v>0</v>
      </c>
      <c r="E195" s="373">
        <f t="shared" si="54"/>
        <v>0</v>
      </c>
      <c r="F195" s="373">
        <f>E195</f>
        <v>0</v>
      </c>
      <c r="G195" s="373">
        <f>D195</f>
        <v>0</v>
      </c>
      <c r="H195" s="374"/>
      <c r="I195" s="373"/>
      <c r="J195" s="374"/>
      <c r="K195" s="373"/>
      <c r="M195" s="375"/>
      <c r="N195" s="373">
        <f t="shared" si="55"/>
        <v>0</v>
      </c>
      <c r="O195" s="373">
        <f t="shared" si="56"/>
        <v>0</v>
      </c>
    </row>
    <row r="196" spans="1:15">
      <c r="A196" s="375" t="s">
        <v>450</v>
      </c>
      <c r="B196" s="373">
        <f>Balances!N21</f>
        <v>0</v>
      </c>
      <c r="C196" s="373">
        <f t="shared" si="52"/>
        <v>0</v>
      </c>
      <c r="D196" s="373">
        <f t="shared" si="53"/>
        <v>0</v>
      </c>
      <c r="E196" s="373">
        <f t="shared" si="54"/>
        <v>0</v>
      </c>
      <c r="F196" s="373">
        <f>G220+G195</f>
        <v>0</v>
      </c>
      <c r="G196" s="373">
        <f>F220+F195</f>
        <v>0</v>
      </c>
      <c r="H196" s="374"/>
      <c r="I196" s="373"/>
      <c r="J196" s="374"/>
      <c r="K196" s="373"/>
      <c r="M196" s="375"/>
      <c r="N196" s="373">
        <f t="shared" si="55"/>
        <v>0</v>
      </c>
      <c r="O196" s="373">
        <f t="shared" si="56"/>
        <v>0</v>
      </c>
    </row>
    <row r="197" spans="1:15">
      <c r="A197" s="375" t="s">
        <v>449</v>
      </c>
      <c r="B197" s="373">
        <f>Balances!N22</f>
        <v>0</v>
      </c>
      <c r="C197" s="373">
        <f t="shared" si="52"/>
        <v>0</v>
      </c>
      <c r="D197" s="373">
        <f>IF((B197-C197)&lt;0,C197-B197,0)</f>
        <v>0</v>
      </c>
      <c r="E197" s="373">
        <f>IF((B197-C197)&gt;0,B197-C197,0)</f>
        <v>0</v>
      </c>
      <c r="F197" s="373"/>
      <c r="G197" s="373"/>
      <c r="H197" s="374"/>
      <c r="I197" s="373"/>
      <c r="J197" s="374"/>
      <c r="K197" s="373"/>
      <c r="M197" s="375"/>
      <c r="N197" s="373">
        <f t="shared" si="55"/>
        <v>0</v>
      </c>
      <c r="O197" s="373">
        <f t="shared" si="56"/>
        <v>0</v>
      </c>
    </row>
    <row r="198" spans="1:15">
      <c r="A198" s="375" t="s">
        <v>153</v>
      </c>
      <c r="B198" s="373">
        <f>Balances!N23</f>
        <v>0</v>
      </c>
      <c r="C198" s="373">
        <f t="shared" si="52"/>
        <v>0</v>
      </c>
      <c r="D198" s="373">
        <f t="shared" si="53"/>
        <v>0</v>
      </c>
      <c r="E198" s="373">
        <f t="shared" si="54"/>
        <v>0</v>
      </c>
      <c r="F198" s="373"/>
      <c r="G198" s="373"/>
      <c r="H198" s="374"/>
      <c r="I198" s="373"/>
      <c r="J198" s="374"/>
      <c r="K198" s="373"/>
      <c r="M198" s="375"/>
      <c r="N198" s="373">
        <f t="shared" si="55"/>
        <v>0</v>
      </c>
      <c r="O198" s="373">
        <f t="shared" si="56"/>
        <v>0</v>
      </c>
    </row>
    <row r="199" spans="1:15">
      <c r="A199" s="403" t="s">
        <v>271</v>
      </c>
      <c r="B199" s="373">
        <f>Balances!N25</f>
        <v>0</v>
      </c>
      <c r="C199" s="373">
        <f t="shared" si="52"/>
        <v>0</v>
      </c>
      <c r="D199" s="373">
        <f t="shared" si="53"/>
        <v>0</v>
      </c>
      <c r="E199" s="373">
        <f t="shared" si="54"/>
        <v>0</v>
      </c>
      <c r="F199" s="373"/>
      <c r="G199" s="373"/>
      <c r="H199" s="374"/>
      <c r="I199" s="373"/>
      <c r="J199" s="374"/>
      <c r="K199" s="373"/>
      <c r="M199" s="375"/>
      <c r="N199" s="373">
        <f t="shared" si="55"/>
        <v>0</v>
      </c>
      <c r="O199" s="373">
        <f t="shared" si="56"/>
        <v>0</v>
      </c>
    </row>
    <row r="200" spans="1:15">
      <c r="A200" s="403" t="s">
        <v>272</v>
      </c>
      <c r="B200" s="373">
        <f>Balances!N26</f>
        <v>0</v>
      </c>
      <c r="C200" s="373">
        <f t="shared" si="52"/>
        <v>0</v>
      </c>
      <c r="D200" s="373">
        <f>IF((B200-C200)&lt;0,C200-B200,0)</f>
        <v>0</v>
      </c>
      <c r="E200" s="373">
        <f>IF((B200-C200)&gt;0,B200-C200,0)</f>
        <v>0</v>
      </c>
      <c r="F200" s="373"/>
      <c r="G200" s="373"/>
      <c r="H200" s="374"/>
      <c r="I200" s="373"/>
      <c r="J200" s="374"/>
      <c r="K200" s="373"/>
      <c r="M200" s="375"/>
      <c r="N200" s="373">
        <f t="shared" si="55"/>
        <v>0</v>
      </c>
      <c r="O200" s="373">
        <f t="shared" si="56"/>
        <v>0</v>
      </c>
    </row>
    <row r="201" spans="1:15">
      <c r="A201" s="403" t="s">
        <v>329</v>
      </c>
      <c r="B201" s="373">
        <f>Balances!N28</f>
        <v>0</v>
      </c>
      <c r="C201" s="373">
        <f t="shared" ref="C201:C206" si="57">B157</f>
        <v>0</v>
      </c>
      <c r="D201" s="373">
        <f t="shared" si="53"/>
        <v>0</v>
      </c>
      <c r="E201" s="373">
        <f t="shared" si="54"/>
        <v>0</v>
      </c>
      <c r="F201" s="373"/>
      <c r="G201" s="373"/>
      <c r="H201" s="374"/>
      <c r="I201" s="373"/>
      <c r="J201" s="374"/>
      <c r="K201" s="373"/>
      <c r="L201" s="374">
        <f t="shared" ref="L201:L209" si="58">IF((D201-E201+F201-G201+H201-J201)&gt;0,D201-E201+F201-G201+H201-J201,0)</f>
        <v>0</v>
      </c>
      <c r="M201" s="376">
        <f>IF((D201-E201+F201-G201+H201-J201)&lt;0,-(D201-E201+F201-G201+H201-J201),0)</f>
        <v>0</v>
      </c>
      <c r="N201" s="373"/>
      <c r="O201" s="373"/>
    </row>
    <row r="202" spans="1:15">
      <c r="A202" s="375" t="str">
        <f>A158</f>
        <v>Acreedores comerciales</v>
      </c>
      <c r="B202" s="373">
        <f>Balances!N29</f>
        <v>0</v>
      </c>
      <c r="C202" s="373">
        <f t="shared" si="57"/>
        <v>0</v>
      </c>
      <c r="D202" s="373">
        <f t="shared" si="53"/>
        <v>0</v>
      </c>
      <c r="E202" s="373">
        <f t="shared" si="54"/>
        <v>0</v>
      </c>
      <c r="F202" s="373"/>
      <c r="G202" s="373"/>
      <c r="H202" s="399">
        <f>J213</f>
        <v>0</v>
      </c>
      <c r="I202" s="394">
        <v>-2</v>
      </c>
      <c r="J202" s="374"/>
      <c r="K202" s="373"/>
      <c r="L202" s="373">
        <f t="shared" si="58"/>
        <v>0</v>
      </c>
      <c r="M202" s="373">
        <f t="shared" ref="M202:M207" si="59">IF((D202-E202+F202-G202+H202-J202)&lt;0,-(D202-E202+F202-G202+H202-J202),0)</f>
        <v>0</v>
      </c>
      <c r="N202" s="373"/>
      <c r="O202" s="373"/>
    </row>
    <row r="203" spans="1:15">
      <c r="A203" s="375" t="s">
        <v>55</v>
      </c>
      <c r="B203" s="373">
        <f>Balances!N30</f>
        <v>0</v>
      </c>
      <c r="C203" s="373">
        <f t="shared" si="57"/>
        <v>0</v>
      </c>
      <c r="D203" s="373">
        <f t="shared" si="53"/>
        <v>0</v>
      </c>
      <c r="E203" s="373">
        <f t="shared" si="54"/>
        <v>0</v>
      </c>
      <c r="F203" s="373"/>
      <c r="G203" s="373"/>
      <c r="H203" s="399">
        <f>J219</f>
        <v>0</v>
      </c>
      <c r="I203" s="377">
        <v>-5</v>
      </c>
      <c r="J203" s="374"/>
      <c r="K203" s="373"/>
      <c r="L203" s="373"/>
      <c r="M203" s="373"/>
      <c r="N203" s="373">
        <f>IF((D203-E203+F203-G203+H203-J203)&gt;0,D203-E203+F203-G203+H203-J203,0)</f>
        <v>0</v>
      </c>
      <c r="O203" s="373">
        <f>IF((D203-E203+F203-G203+H203-J203)&lt;0,-(D203-E203+F203-G203+H203-J203),0)</f>
        <v>0</v>
      </c>
    </row>
    <row r="204" spans="1:15">
      <c r="A204" s="375" t="str">
        <f>A160</f>
        <v>H.P. acreedora por distintos conceptos</v>
      </c>
      <c r="B204" s="373">
        <f>Balances!N31</f>
        <v>0</v>
      </c>
      <c r="C204" s="373">
        <f t="shared" si="57"/>
        <v>0</v>
      </c>
      <c r="D204" s="373">
        <f t="shared" si="53"/>
        <v>0</v>
      </c>
      <c r="E204" s="373">
        <f t="shared" si="54"/>
        <v>0</v>
      </c>
      <c r="F204" s="373">
        <f>G188</f>
        <v>0</v>
      </c>
      <c r="G204" s="373"/>
      <c r="H204" s="399">
        <f>J218+Circulantes!R35</f>
        <v>0</v>
      </c>
      <c r="I204" s="394">
        <v>-3</v>
      </c>
      <c r="J204" s="374"/>
      <c r="K204" s="373"/>
      <c r="L204" s="373">
        <f t="shared" si="58"/>
        <v>0</v>
      </c>
      <c r="M204" s="373">
        <f t="shared" si="59"/>
        <v>0</v>
      </c>
      <c r="N204" s="373"/>
      <c r="O204" s="373"/>
    </row>
    <row r="205" spans="1:15">
      <c r="A205" s="375" t="str">
        <f>A161</f>
        <v>Organismos de la S.S. acreedores</v>
      </c>
      <c r="B205" s="373">
        <f>Balances!N32</f>
        <v>0</v>
      </c>
      <c r="C205" s="373">
        <f t="shared" si="57"/>
        <v>0</v>
      </c>
      <c r="D205" s="373">
        <f t="shared" si="53"/>
        <v>0</v>
      </c>
      <c r="E205" s="373">
        <f t="shared" si="54"/>
        <v>0</v>
      </c>
      <c r="F205" s="373"/>
      <c r="G205" s="373"/>
      <c r="H205" s="399">
        <f>Circulantes!R36</f>
        <v>0</v>
      </c>
      <c r="I205" s="394">
        <v>-4</v>
      </c>
      <c r="J205" s="384"/>
      <c r="K205" s="373"/>
      <c r="L205" s="373">
        <f t="shared" si="58"/>
        <v>0</v>
      </c>
      <c r="M205" s="373">
        <f t="shared" si="59"/>
        <v>0</v>
      </c>
      <c r="N205" s="373"/>
      <c r="O205" s="373"/>
    </row>
    <row r="206" spans="1:15">
      <c r="A206" s="378" t="str">
        <f>A162</f>
        <v>Otras cuentas a pagar no financieras</v>
      </c>
      <c r="B206" s="385">
        <f>Balances!N33</f>
        <v>0</v>
      </c>
      <c r="C206" s="381">
        <f t="shared" si="57"/>
        <v>0</v>
      </c>
      <c r="D206" s="385">
        <f t="shared" si="53"/>
        <v>0</v>
      </c>
      <c r="E206" s="381">
        <f t="shared" si="54"/>
        <v>0</v>
      </c>
      <c r="F206" s="381"/>
      <c r="G206" s="381"/>
      <c r="H206" s="400"/>
      <c r="I206" s="395"/>
      <c r="J206" s="382"/>
      <c r="K206" s="381"/>
      <c r="L206" s="381">
        <f t="shared" si="58"/>
        <v>0</v>
      </c>
      <c r="M206" s="381">
        <f t="shared" si="59"/>
        <v>0</v>
      </c>
      <c r="N206" s="381"/>
      <c r="O206" s="381"/>
    </row>
    <row r="207" spans="1:15">
      <c r="A207" s="375" t="s">
        <v>115</v>
      </c>
      <c r="B207" s="373"/>
      <c r="C207" s="373"/>
      <c r="D207" s="373"/>
      <c r="E207" s="373">
        <f>Resultados!O5</f>
        <v>0</v>
      </c>
      <c r="F207" s="373"/>
      <c r="G207" s="373"/>
      <c r="H207" s="374">
        <f>E207</f>
        <v>0</v>
      </c>
      <c r="I207" s="377">
        <v>-1</v>
      </c>
      <c r="J207" s="374"/>
      <c r="K207" s="373"/>
      <c r="L207" s="373">
        <f t="shared" si="58"/>
        <v>0</v>
      </c>
      <c r="M207" s="373">
        <f t="shared" si="59"/>
        <v>0</v>
      </c>
      <c r="N207" s="373"/>
      <c r="O207" s="373"/>
    </row>
    <row r="208" spans="1:15">
      <c r="A208" s="375" t="s">
        <v>42</v>
      </c>
      <c r="B208" s="373"/>
      <c r="C208" s="373"/>
      <c r="D208" s="373"/>
      <c r="E208" s="373">
        <f>Resultados!O6</f>
        <v>0</v>
      </c>
      <c r="F208" s="373">
        <f>E208</f>
        <v>0</v>
      </c>
      <c r="G208" s="373"/>
      <c r="H208" s="374"/>
      <c r="I208" s="377"/>
      <c r="J208" s="374"/>
      <c r="K208" s="373"/>
      <c r="L208" s="373">
        <f t="shared" si="58"/>
        <v>0</v>
      </c>
      <c r="M208" s="373">
        <f>IF((D208-E208+F208-G208+H208-J208)&lt;0,-(D208-E208+F208-G208+H208-J208),0)</f>
        <v>0</v>
      </c>
      <c r="N208" s="373"/>
      <c r="O208" s="373"/>
    </row>
    <row r="209" spans="1:15">
      <c r="A209" s="654" t="s">
        <v>298</v>
      </c>
      <c r="B209" s="373"/>
      <c r="C209" s="373"/>
      <c r="D209" s="373"/>
      <c r="E209" s="373">
        <f>Resultados!O7</f>
        <v>0</v>
      </c>
      <c r="F209" s="373"/>
      <c r="G209" s="373"/>
      <c r="H209" s="374"/>
      <c r="I209" s="377"/>
      <c r="J209" s="374"/>
      <c r="K209" s="373"/>
      <c r="L209" s="373">
        <f t="shared" si="58"/>
        <v>0</v>
      </c>
      <c r="M209" s="373">
        <f>IF((D209-E209+F209-G209+H209-J209)&lt;0,-(D209-E209+F209-G209+H209-J209),0)</f>
        <v>0</v>
      </c>
      <c r="N209" s="373"/>
      <c r="O209" s="373"/>
    </row>
    <row r="210" spans="1:15">
      <c r="A210" s="654" t="s">
        <v>235</v>
      </c>
      <c r="B210" s="373"/>
      <c r="C210" s="373"/>
      <c r="D210" s="373"/>
      <c r="E210" s="373">
        <f>Resultados!O8+Resultados!O9</f>
        <v>0</v>
      </c>
      <c r="F210" s="373">
        <f>E210</f>
        <v>0</v>
      </c>
      <c r="G210" s="373"/>
      <c r="H210" s="374"/>
      <c r="I210" s="377"/>
      <c r="J210" s="374"/>
      <c r="K210" s="373"/>
      <c r="L210" s="373"/>
      <c r="M210" s="373"/>
      <c r="N210" s="373"/>
      <c r="O210" s="373"/>
    </row>
    <row r="211" spans="1:15">
      <c r="A211" s="654" t="s">
        <v>245</v>
      </c>
      <c r="B211" s="373"/>
      <c r="C211" s="373"/>
      <c r="D211" s="373"/>
      <c r="E211" s="373">
        <f>Resultados!O10</f>
        <v>0</v>
      </c>
      <c r="F211" s="373"/>
      <c r="G211" s="373"/>
      <c r="H211" s="374"/>
      <c r="I211" s="377"/>
      <c r="J211" s="374"/>
      <c r="K211" s="373"/>
      <c r="L211" s="373"/>
      <c r="M211" s="373"/>
      <c r="N211" s="373"/>
      <c r="O211" s="373"/>
    </row>
    <row r="212" spans="1:15">
      <c r="A212" s="654" t="s">
        <v>165</v>
      </c>
      <c r="B212" s="373"/>
      <c r="C212" s="373"/>
      <c r="D212" s="373"/>
      <c r="E212" s="373">
        <f>Resultados!O11</f>
        <v>0</v>
      </c>
      <c r="F212" s="373"/>
      <c r="G212" s="373"/>
      <c r="H212" s="374"/>
      <c r="I212" s="373"/>
      <c r="J212" s="374"/>
      <c r="K212" s="373"/>
      <c r="L212" s="373">
        <f t="shared" ref="L212:L220" si="60">IF((D212-E212+F212-G212+H212-J212)&gt;0,D212-E212+F212-G212+H212-J212,0)</f>
        <v>0</v>
      </c>
      <c r="M212" s="373">
        <f t="shared" ref="M212:M220" si="61">IF((D212-E212+F212-G212+H212-J212)&lt;0,-(D212-E212+F212-G212+H212-J212),0)</f>
        <v>0</v>
      </c>
      <c r="N212" s="373"/>
      <c r="O212" s="373"/>
    </row>
    <row r="213" spans="1:15">
      <c r="A213" s="375" t="s">
        <v>116</v>
      </c>
      <c r="B213" s="373"/>
      <c r="C213" s="373"/>
      <c r="D213" s="373">
        <f>-SUM(Resultados!P12:P13)</f>
        <v>0</v>
      </c>
      <c r="E213" s="373"/>
      <c r="F213" s="373"/>
      <c r="G213" s="373"/>
      <c r="H213" s="374"/>
      <c r="I213" s="373"/>
      <c r="J213" s="374">
        <f>D213</f>
        <v>0</v>
      </c>
      <c r="K213" s="377">
        <v>-2</v>
      </c>
      <c r="L213" s="373">
        <f t="shared" si="60"/>
        <v>0</v>
      </c>
      <c r="M213" s="373">
        <f t="shared" si="61"/>
        <v>0</v>
      </c>
      <c r="N213" s="373"/>
      <c r="O213" s="373"/>
    </row>
    <row r="214" spans="1:15">
      <c r="A214" s="375" t="s">
        <v>117</v>
      </c>
      <c r="B214" s="373"/>
      <c r="C214" s="373"/>
      <c r="D214" s="373">
        <f>'G. Fijos'!J17</f>
        <v>0</v>
      </c>
      <c r="E214" s="373"/>
      <c r="F214" s="373"/>
      <c r="G214" s="373"/>
      <c r="H214" s="374"/>
      <c r="I214" s="373"/>
      <c r="J214" s="374">
        <f>SUM(Circulantes!R35:R36)</f>
        <v>0</v>
      </c>
      <c r="K214" s="377">
        <v>-3</v>
      </c>
      <c r="L214" s="373">
        <f t="shared" si="60"/>
        <v>0</v>
      </c>
      <c r="M214" s="373">
        <f t="shared" si="61"/>
        <v>0</v>
      </c>
      <c r="N214" s="373"/>
      <c r="O214" s="373"/>
    </row>
    <row r="215" spans="1:15">
      <c r="A215" s="375" t="s">
        <v>118</v>
      </c>
      <c r="B215" s="373"/>
      <c r="C215" s="373"/>
      <c r="D215" s="373">
        <f>'G. Fijos'!J18</f>
        <v>0</v>
      </c>
      <c r="E215" s="373"/>
      <c r="F215" s="373"/>
      <c r="G215" s="373">
        <f>D215</f>
        <v>0</v>
      </c>
      <c r="H215" s="374"/>
      <c r="I215" s="373"/>
      <c r="J215" s="374"/>
      <c r="K215" s="377"/>
      <c r="L215" s="373">
        <f t="shared" si="60"/>
        <v>0</v>
      </c>
      <c r="M215" s="373">
        <f t="shared" si="61"/>
        <v>0</v>
      </c>
      <c r="N215" s="373"/>
      <c r="O215" s="373"/>
    </row>
    <row r="216" spans="1:15">
      <c r="A216" s="375" t="s">
        <v>119</v>
      </c>
      <c r="B216" s="373"/>
      <c r="C216" s="373"/>
      <c r="D216" s="373">
        <f>'G. Fijos'!J5</f>
        <v>0</v>
      </c>
      <c r="E216" s="373"/>
      <c r="F216" s="373"/>
      <c r="G216" s="373"/>
      <c r="H216" s="374"/>
      <c r="I216" s="373"/>
      <c r="J216" s="374"/>
      <c r="K216" s="377"/>
      <c r="L216" s="373">
        <f t="shared" si="60"/>
        <v>0</v>
      </c>
      <c r="M216" s="373">
        <f t="shared" si="61"/>
        <v>0</v>
      </c>
      <c r="N216" s="373"/>
      <c r="O216" s="373"/>
    </row>
    <row r="217" spans="1:15">
      <c r="A217" s="375" t="s">
        <v>120</v>
      </c>
      <c r="B217" s="373"/>
      <c r="C217" s="373"/>
      <c r="D217" s="373">
        <f>'G. Fijos'!J21</f>
        <v>0</v>
      </c>
      <c r="E217" s="373"/>
      <c r="F217" s="373"/>
      <c r="G217" s="373"/>
      <c r="H217" s="374"/>
      <c r="I217" s="373"/>
      <c r="J217" s="374"/>
      <c r="K217" s="377"/>
      <c r="L217" s="373">
        <f t="shared" si="60"/>
        <v>0</v>
      </c>
      <c r="M217" s="373">
        <f t="shared" si="61"/>
        <v>0</v>
      </c>
      <c r="N217" s="373"/>
      <c r="O217" s="373"/>
    </row>
    <row r="218" spans="1:15">
      <c r="A218" s="375" t="s">
        <v>45</v>
      </c>
      <c r="B218" s="373"/>
      <c r="C218" s="373"/>
      <c r="D218" s="373">
        <f>-Resultados!P23</f>
        <v>0</v>
      </c>
      <c r="E218" s="373"/>
      <c r="F218" s="373"/>
      <c r="G218" s="373"/>
      <c r="H218" s="374"/>
      <c r="I218" s="373"/>
      <c r="J218" s="374">
        <f>D218</f>
        <v>0</v>
      </c>
      <c r="K218" s="377">
        <v>-4</v>
      </c>
      <c r="L218" s="373">
        <f t="shared" si="60"/>
        <v>0</v>
      </c>
      <c r="M218" s="373">
        <f t="shared" si="61"/>
        <v>0</v>
      </c>
      <c r="N218" s="373"/>
      <c r="O218" s="373"/>
    </row>
    <row r="219" spans="1:15">
      <c r="A219" s="375" t="s">
        <v>55</v>
      </c>
      <c r="B219" s="373"/>
      <c r="C219" s="373"/>
      <c r="D219" s="373">
        <f>-Resultados!P25</f>
        <v>0</v>
      </c>
      <c r="E219" s="373"/>
      <c r="F219" s="373"/>
      <c r="G219" s="373"/>
      <c r="H219" s="374"/>
      <c r="I219" s="373"/>
      <c r="J219" s="374">
        <f>D219</f>
        <v>0</v>
      </c>
      <c r="K219" s="377">
        <v>-5</v>
      </c>
      <c r="L219" s="373">
        <f t="shared" si="60"/>
        <v>0</v>
      </c>
      <c r="M219" s="373">
        <f t="shared" si="61"/>
        <v>0</v>
      </c>
      <c r="N219" s="373"/>
      <c r="O219" s="373"/>
    </row>
    <row r="220" spans="1:15">
      <c r="A220" s="378" t="s">
        <v>121</v>
      </c>
      <c r="B220" s="381"/>
      <c r="C220" s="381"/>
      <c r="D220" s="373">
        <f>IF(SUM(E207:E212)-SUM(D213:D219)&gt;0,SUM(E207:E212)-SUM(D213:D219),0)</f>
        <v>0</v>
      </c>
      <c r="E220" s="373">
        <f>IF(SUM(D213:D219)-SUM(E207:E212)&gt;0,SUM(D213:D219)-SUM(E207:E212),0)</f>
        <v>0</v>
      </c>
      <c r="F220" s="381">
        <f>E220</f>
        <v>0</v>
      </c>
      <c r="G220" s="381">
        <f>D220</f>
        <v>0</v>
      </c>
      <c r="H220" s="382"/>
      <c r="I220" s="381"/>
      <c r="J220" s="382"/>
      <c r="K220" s="377"/>
      <c r="L220" s="373">
        <f t="shared" si="60"/>
        <v>0</v>
      </c>
      <c r="M220" s="373">
        <f t="shared" si="61"/>
        <v>0</v>
      </c>
      <c r="N220" s="381"/>
      <c r="O220" s="381"/>
    </row>
    <row r="221" spans="1:15">
      <c r="A221" s="396" t="s">
        <v>122</v>
      </c>
      <c r="B221" s="379">
        <f>SUM(B182:B190)-SUM(B192:B206)</f>
        <v>0</v>
      </c>
      <c r="C221" s="379">
        <f>SUM(C182:C190)-SUM(C192:C206)</f>
        <v>0</v>
      </c>
      <c r="D221" s="379">
        <f>SUM(D182:D220)</f>
        <v>0</v>
      </c>
      <c r="E221" s="379">
        <f>SUM(E182:E220)</f>
        <v>0</v>
      </c>
      <c r="F221" s="379">
        <f>SUM(F182:F220)</f>
        <v>0</v>
      </c>
      <c r="G221" s="379">
        <f>SUM(G182:G220)</f>
        <v>0</v>
      </c>
      <c r="H221" s="397">
        <f>SUM(H182:H220)</f>
        <v>0</v>
      </c>
      <c r="I221" s="398"/>
      <c r="J221" s="404">
        <f>SUM(J182:J220)</f>
        <v>0</v>
      </c>
      <c r="K221" s="402"/>
      <c r="L221" s="379">
        <f>SUM(L182:L220)</f>
        <v>0</v>
      </c>
      <c r="M221" s="379">
        <f>SUM(M182:M220)</f>
        <v>0</v>
      </c>
      <c r="N221" s="379">
        <f>SUM(N182:N220)</f>
        <v>0</v>
      </c>
      <c r="O221" s="379">
        <f>SUM(O182:O220)</f>
        <v>0</v>
      </c>
    </row>
  </sheetData>
  <sheetProtection password="A6E9" sheet="1"/>
  <mergeCells count="15">
    <mergeCell ref="A91:A92"/>
    <mergeCell ref="B91:B92"/>
    <mergeCell ref="C91:C92"/>
    <mergeCell ref="A3:A4"/>
    <mergeCell ref="B3:B4"/>
    <mergeCell ref="C3:C4"/>
    <mergeCell ref="A47:A48"/>
    <mergeCell ref="B47:B48"/>
    <mergeCell ref="C47:C48"/>
    <mergeCell ref="A135:A136"/>
    <mergeCell ref="B135:B136"/>
    <mergeCell ref="C135:C136"/>
    <mergeCell ref="A179:A180"/>
    <mergeCell ref="B179:B180"/>
    <mergeCell ref="C179:C180"/>
  </mergeCells>
  <phoneticPr fontId="0" type="noConversion"/>
  <printOptions horizontalCentered="1" gridLinesSet="0"/>
  <pageMargins left="0.2" right="0.21" top="1.7" bottom="1.63" header="0.28999999999999998" footer="0"/>
  <pageSetup paperSize="9" scale="69" fitToHeight="3" orientation="landscape" horizontalDpi="4294967292" r:id="rId1"/>
  <headerFooter alignWithMargins="0">
    <oddHeader>&amp;C&amp;14&amp;UEmpresa ACRADOS, S. A.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>
    <pageSetUpPr autoPageBreaks="0"/>
  </sheetPr>
  <dimension ref="A1:G31"/>
  <sheetViews>
    <sheetView showGridLines="0" showZeros="0" zoomScaleNormal="100" zoomScaleSheetLayoutView="50" workbookViewId="0">
      <selection activeCell="C4" sqref="C4"/>
    </sheetView>
  </sheetViews>
  <sheetFormatPr baseColWidth="10" defaultColWidth="0" defaultRowHeight="15"/>
  <cols>
    <col min="1" max="1" width="4.5" style="161" customWidth="1"/>
    <col min="2" max="2" width="44.125" style="161" customWidth="1"/>
    <col min="3" max="7" width="12.375" style="161" customWidth="1"/>
    <col min="8" max="8" width="11.25" style="161" customWidth="1"/>
    <col min="9" max="16384" width="0" style="161" hidden="1"/>
  </cols>
  <sheetData>
    <row r="1" spans="1:7" s="74" customFormat="1" ht="36.75" customHeight="1" thickBot="1"/>
    <row r="2" spans="1:7" s="405" customFormat="1" ht="33" customHeight="1" thickBot="1">
      <c r="A2" s="1029" t="s">
        <v>331</v>
      </c>
      <c r="B2" s="1079"/>
      <c r="C2" s="1079"/>
      <c r="D2" s="1079"/>
      <c r="E2" s="1079"/>
      <c r="F2" s="1079"/>
      <c r="G2" s="1080"/>
    </row>
    <row r="3" spans="1:7" s="7" customFormat="1" ht="33" customHeight="1" thickBot="1">
      <c r="A3" s="1085"/>
      <c r="B3" s="1086"/>
      <c r="C3" s="406" t="s">
        <v>60</v>
      </c>
      <c r="D3" s="406" t="s">
        <v>61</v>
      </c>
      <c r="E3" s="406" t="s">
        <v>62</v>
      </c>
      <c r="F3" s="406" t="s">
        <v>176</v>
      </c>
      <c r="G3" s="526" t="s">
        <v>177</v>
      </c>
    </row>
    <row r="4" spans="1:7" ht="22.5" customHeight="1">
      <c r="A4" s="467" t="s">
        <v>79</v>
      </c>
      <c r="B4" s="468"/>
      <c r="C4" s="771">
        <f>SUM(C5:C12)</f>
        <v>0</v>
      </c>
      <c r="D4" s="771">
        <f>SUM(D5:D12)</f>
        <v>0</v>
      </c>
      <c r="E4" s="771">
        <f>SUM(E5:E12)</f>
        <v>0</v>
      </c>
      <c r="F4" s="771">
        <f>SUM(F5:F12)</f>
        <v>0</v>
      </c>
      <c r="G4" s="772">
        <f>SUM(G5:G12)</f>
        <v>0</v>
      </c>
    </row>
    <row r="5" spans="1:7" ht="18" customHeight="1">
      <c r="A5" s="193"/>
      <c r="B5" s="210" t="s">
        <v>80</v>
      </c>
      <c r="C5" s="773">
        <f>'Hoja de trabajo'!M11</f>
        <v>0</v>
      </c>
      <c r="D5" s="773">
        <f>'Hoja de trabajo'!M55</f>
        <v>0</v>
      </c>
      <c r="E5" s="773">
        <f>'Hoja de trabajo'!M99</f>
        <v>0</v>
      </c>
      <c r="F5" s="773">
        <f>'Hoja de trabajo'!M143</f>
        <v>0</v>
      </c>
      <c r="G5" s="774">
        <f>'Hoja de trabajo'!M187</f>
        <v>0</v>
      </c>
    </row>
    <row r="6" spans="1:7" ht="18" customHeight="1">
      <c r="A6" s="193"/>
      <c r="B6" s="210" t="s">
        <v>81</v>
      </c>
      <c r="C6" s="773">
        <f>'Hoja de trabajo'!M26-'Hoja de trabajo'!L26</f>
        <v>0</v>
      </c>
      <c r="D6" s="773">
        <f>'Hoja de trabajo'!M70-'Hoja de trabajo'!L70</f>
        <v>0</v>
      </c>
      <c r="E6" s="773">
        <f>'Hoja de trabajo'!M114-'Hoja de trabajo'!L114</f>
        <v>0</v>
      </c>
      <c r="F6" s="773">
        <f>'Hoja de trabajo'!M158-'Hoja de trabajo'!L158</f>
        <v>0</v>
      </c>
      <c r="G6" s="774">
        <f>'Hoja de trabajo'!M202-'Hoja de trabajo'!L202</f>
        <v>0</v>
      </c>
    </row>
    <row r="7" spans="1:7" ht="18" customHeight="1">
      <c r="A7" s="193"/>
      <c r="B7" s="210" t="s">
        <v>82</v>
      </c>
      <c r="C7" s="773">
        <f>'Hoja de trabajo'!M38-'Hoja de trabajo'!L38</f>
        <v>0</v>
      </c>
      <c r="D7" s="773">
        <f>'Hoja de trabajo'!M82-'Hoja de trabajo'!L82</f>
        <v>0</v>
      </c>
      <c r="E7" s="773">
        <f>'Hoja de trabajo'!M126-'Hoja de trabajo'!L126</f>
        <v>0</v>
      </c>
      <c r="F7" s="773">
        <f>'Hoja de trabajo'!M170-'Hoja de trabajo'!L170</f>
        <v>0</v>
      </c>
      <c r="G7" s="774">
        <f>'Hoja de trabajo'!M214-'Hoja de trabajo'!L214</f>
        <v>0</v>
      </c>
    </row>
    <row r="8" spans="1:7" ht="18" customHeight="1">
      <c r="A8" s="193"/>
      <c r="B8" s="210" t="s">
        <v>510</v>
      </c>
      <c r="C8" s="773">
        <f>'Hoja de trabajo'!M28-'Hoja de trabajo'!L28</f>
        <v>0</v>
      </c>
      <c r="D8" s="773">
        <f>'Hoja de trabajo'!M72-'Hoja de trabajo'!L72+Circulantes!H33</f>
        <v>0</v>
      </c>
      <c r="E8" s="773">
        <f>'Hoja de trabajo'!M116-'Hoja de trabajo'!L116+Circulantes!K33</f>
        <v>0</v>
      </c>
      <c r="F8" s="773">
        <f>'Hoja de trabajo'!M160-'Hoja de trabajo'!L160+Circulantes!N33</f>
        <v>0</v>
      </c>
      <c r="G8" s="774">
        <f>'Hoja de trabajo'!M204-'Hoja de trabajo'!L204+Circulantes!Q33</f>
        <v>0</v>
      </c>
    </row>
    <row r="9" spans="1:7" ht="18" customHeight="1">
      <c r="A9" s="193"/>
      <c r="B9" s="210" t="s">
        <v>511</v>
      </c>
      <c r="C9" s="773">
        <f>'Hoja de trabajo'!M29-'Hoja de trabajo'!L29</f>
        <v>0</v>
      </c>
      <c r="D9" s="773">
        <f>'Hoja de trabajo'!M73-'Hoja de trabajo'!L73</f>
        <v>0</v>
      </c>
      <c r="E9" s="773">
        <f>'Hoja de trabajo'!M117-'Hoja de trabajo'!L117</f>
        <v>0</v>
      </c>
      <c r="F9" s="773">
        <f>'Hoja de trabajo'!M161-'Hoja de trabajo'!L161</f>
        <v>0</v>
      </c>
      <c r="G9" s="774">
        <f>'Hoja de trabajo'!M205-'Hoja de trabajo'!L205</f>
        <v>0</v>
      </c>
    </row>
    <row r="10" spans="1:7" ht="18" customHeight="1">
      <c r="A10" s="193"/>
      <c r="B10" s="210" t="s">
        <v>392</v>
      </c>
      <c r="C10" s="773">
        <f>'Hoja de trabajo'!M33-'Hoja de trabajo'!L33+'Hoja de trabajo'!M36-'Hoja de trabajo'!L36+'Hoja de trabajo'!M40-'Hoja de trabajo'!L40</f>
        <v>0</v>
      </c>
      <c r="D10" s="773">
        <f>'Hoja de trabajo'!M77-'Hoja de trabajo'!L77+'Hoja de trabajo'!M80-'Hoja de trabajo'!L80+'Hoja de trabajo'!M84-'Hoja de trabajo'!L84</f>
        <v>0</v>
      </c>
      <c r="E10" s="773">
        <f>'Hoja de trabajo'!M121-'Hoja de trabajo'!L121+'Hoja de trabajo'!M124-'Hoja de trabajo'!L124+'Hoja de trabajo'!M128-'Hoja de trabajo'!L128</f>
        <v>0</v>
      </c>
      <c r="F10" s="773">
        <f>'Hoja de trabajo'!M165-'Hoja de trabajo'!L165+'Hoja de trabajo'!M168-'Hoja de trabajo'!L168+'Hoja de trabajo'!M172-'Hoja de trabajo'!L172</f>
        <v>0</v>
      </c>
      <c r="G10" s="774">
        <f>'Hoja de trabajo'!M209-'Hoja de trabajo'!L209+'Hoja de trabajo'!M212-'Hoja de trabajo'!L212+'Hoja de trabajo'!M216-'Hoja de trabajo'!L216</f>
        <v>0</v>
      </c>
    </row>
    <row r="11" spans="1:7" ht="18" customHeight="1">
      <c r="A11" s="193"/>
      <c r="B11" s="210" t="s">
        <v>131</v>
      </c>
      <c r="C11" s="773">
        <f>-'Hoja de trabajo'!L42</f>
        <v>0</v>
      </c>
      <c r="D11" s="773">
        <f>-Circulantes!H33</f>
        <v>0</v>
      </c>
      <c r="E11" s="773">
        <f>-Circulantes!K33</f>
        <v>0</v>
      </c>
      <c r="F11" s="773">
        <f>-Circulantes!N33</f>
        <v>0</v>
      </c>
      <c r="G11" s="774">
        <f>-Circulantes!Q33</f>
        <v>0</v>
      </c>
    </row>
    <row r="12" spans="1:7" ht="18" customHeight="1">
      <c r="A12" s="193"/>
      <c r="B12" s="210" t="s">
        <v>85</v>
      </c>
      <c r="C12" s="773">
        <f>-'Hoja de trabajo'!L41</f>
        <v>0</v>
      </c>
      <c r="D12" s="773">
        <f>-'Hoja de trabajo'!L85</f>
        <v>0</v>
      </c>
      <c r="E12" s="773">
        <f>-'Hoja de trabajo'!L129</f>
        <v>0</v>
      </c>
      <c r="F12" s="773">
        <f>-'Hoja de trabajo'!L173</f>
        <v>0</v>
      </c>
      <c r="G12" s="774">
        <f>-'Hoja de trabajo'!L217</f>
        <v>0</v>
      </c>
    </row>
    <row r="13" spans="1:7" ht="22.5" customHeight="1">
      <c r="A13" s="473" t="s">
        <v>86</v>
      </c>
      <c r="B13" s="474"/>
      <c r="C13" s="775">
        <f>SUM(C14:C15)</f>
        <v>0</v>
      </c>
      <c r="D13" s="775">
        <f>SUM(D14:D15)</f>
        <v>0</v>
      </c>
      <c r="E13" s="775">
        <f>SUM(E14:E15)</f>
        <v>0</v>
      </c>
      <c r="F13" s="775">
        <f>SUM(F14:F15)</f>
        <v>0</v>
      </c>
      <c r="G13" s="775">
        <f>SUM(G14:G15)</f>
        <v>0</v>
      </c>
    </row>
    <row r="14" spans="1:7" ht="18" customHeight="1">
      <c r="A14" s="193"/>
      <c r="B14" s="210" t="s">
        <v>87</v>
      </c>
      <c r="C14" s="773">
        <f>'Hoja de trabajo'!O6+'Hoja de trabajo'!O8</f>
        <v>0</v>
      </c>
      <c r="D14" s="773">
        <f>'Hoja de trabajo'!O50+'Hoja de trabajo'!O52</f>
        <v>0</v>
      </c>
      <c r="E14" s="773">
        <f>'Hoja de trabajo'!O94+'Hoja de trabajo'!O96</f>
        <v>0</v>
      </c>
      <c r="F14" s="773">
        <f>'Hoja de trabajo'!O138+'Hoja de trabajo'!O140</f>
        <v>0</v>
      </c>
      <c r="G14" s="774">
        <f>'Hoja de trabajo'!O182+'Hoja de trabajo'!O184</f>
        <v>0</v>
      </c>
    </row>
    <row r="15" spans="1:7">
      <c r="A15" s="411"/>
      <c r="B15" s="412" t="s">
        <v>88</v>
      </c>
      <c r="C15" s="777">
        <f>-'Hoja de trabajo'!N6-'Hoja de trabajo'!N8</f>
        <v>0</v>
      </c>
      <c r="D15" s="777">
        <f>-'Hoja de trabajo'!N50-'Hoja de trabajo'!N52</f>
        <v>0</v>
      </c>
      <c r="E15" s="777">
        <f>-'Hoja de trabajo'!N94-'Hoja de trabajo'!N96</f>
        <v>0</v>
      </c>
      <c r="F15" s="777">
        <f>-'Hoja de trabajo'!N138-'Hoja de trabajo'!N140</f>
        <v>0</v>
      </c>
      <c r="G15" s="778">
        <f>-'Hoja de trabajo'!N182-'Hoja de trabajo'!N184</f>
        <v>0</v>
      </c>
    </row>
    <row r="16" spans="1:7" ht="22.5" customHeight="1">
      <c r="A16" s="473" t="s">
        <v>89</v>
      </c>
      <c r="B16" s="474"/>
      <c r="C16" s="775">
        <f>SUM(C17:C25)</f>
        <v>0</v>
      </c>
      <c r="D16" s="775">
        <f>SUM(D17:D25)</f>
        <v>0</v>
      </c>
      <c r="E16" s="775">
        <f>SUM(E17:E25)</f>
        <v>0</v>
      </c>
      <c r="F16" s="775">
        <f>SUM(F17:F25)</f>
        <v>0</v>
      </c>
      <c r="G16" s="776">
        <f>SUM(G17:G25)</f>
        <v>0</v>
      </c>
    </row>
    <row r="17" spans="1:7" ht="18.75" customHeight="1">
      <c r="A17" s="193"/>
      <c r="B17" s="210" t="s">
        <v>90</v>
      </c>
      <c r="C17" s="773">
        <f>'Hoja de trabajo'!O16-'Hoja de trabajo'!N16</f>
        <v>0</v>
      </c>
      <c r="D17" s="773">
        <f>'Hoja de trabajo'!O60-'Hoja de trabajo'!N60</f>
        <v>0</v>
      </c>
      <c r="E17" s="773">
        <f>'Hoja de trabajo'!O104-'Hoja de trabajo'!N104</f>
        <v>0</v>
      </c>
      <c r="F17" s="773">
        <f>'Hoja de trabajo'!O148-'Hoja de trabajo'!N148</f>
        <v>0</v>
      </c>
      <c r="G17" s="774">
        <f>'Hoja de trabajo'!O192-'Hoja de trabajo'!N192</f>
        <v>0</v>
      </c>
    </row>
    <row r="18" spans="1:7" ht="18.75" customHeight="1">
      <c r="A18" s="193"/>
      <c r="B18" s="210" t="s">
        <v>264</v>
      </c>
      <c r="C18" s="773">
        <f>'Hoja de trabajo'!O17</f>
        <v>0</v>
      </c>
      <c r="D18" s="773">
        <f>'Hoja de trabajo'!O61</f>
        <v>0</v>
      </c>
      <c r="E18" s="773">
        <f>'Hoja de trabajo'!O105</f>
        <v>0</v>
      </c>
      <c r="F18" s="773">
        <f>'Hoja de trabajo'!O149</f>
        <v>0</v>
      </c>
      <c r="G18" s="774">
        <f>'Hoja de trabajo'!O193</f>
        <v>0</v>
      </c>
    </row>
    <row r="19" spans="1:7" ht="18.75" customHeight="1">
      <c r="A19" s="193"/>
      <c r="B19" s="210" t="s">
        <v>469</v>
      </c>
      <c r="C19" s="773">
        <f>'Hoja de trabajo'!O21-'Hoja de trabajo'!N21</f>
        <v>0</v>
      </c>
      <c r="D19" s="773">
        <f>'Hoja de trabajo'!O65-'Hoja de trabajo'!N65</f>
        <v>0</v>
      </c>
      <c r="E19" s="773">
        <f>'Hoja de trabajo'!O109-'Hoja de trabajo'!N109</f>
        <v>0</v>
      </c>
      <c r="F19" s="773">
        <f>'Hoja de trabajo'!O153-'Hoja de trabajo'!N153</f>
        <v>0</v>
      </c>
      <c r="G19" s="774">
        <f>'Hoja de trabajo'!O197-'Hoja de trabajo'!N197</f>
        <v>0</v>
      </c>
    </row>
    <row r="20" spans="1:7" ht="18.75" customHeight="1">
      <c r="A20" s="193"/>
      <c r="B20" s="210" t="s">
        <v>322</v>
      </c>
      <c r="C20" s="773">
        <f>'Hoja de trabajo'!O22</f>
        <v>0</v>
      </c>
      <c r="D20" s="773">
        <f>'Hoja de trabajo'!O66</f>
        <v>0</v>
      </c>
      <c r="E20" s="773">
        <f>'Hoja de trabajo'!O110</f>
        <v>0</v>
      </c>
      <c r="F20" s="773">
        <f>'Hoja de trabajo'!O154</f>
        <v>0</v>
      </c>
      <c r="G20" s="774">
        <f>'Hoja de trabajo'!O198</f>
        <v>0</v>
      </c>
    </row>
    <row r="21" spans="1:7" ht="18.75" customHeight="1">
      <c r="A21" s="193"/>
      <c r="B21" s="210" t="s">
        <v>91</v>
      </c>
      <c r="C21" s="773">
        <f>'Hoja de trabajo'!O23</f>
        <v>0</v>
      </c>
      <c r="D21" s="773">
        <f>'Financiación a lp'!E16+'Financiación a lp'!E23</f>
        <v>0</v>
      </c>
      <c r="E21" s="773">
        <f>'Financiación a lp'!F16+'Financiación a lp'!F23</f>
        <v>0</v>
      </c>
      <c r="F21" s="773">
        <f>'Financiación a lp'!G16+'Financiación a lp'!G23</f>
        <v>0</v>
      </c>
      <c r="G21" s="774">
        <f>'Financiación a lp'!H16+'Financiación a lp'!H23</f>
        <v>0</v>
      </c>
    </row>
    <row r="22" spans="1:7" ht="18.75" customHeight="1">
      <c r="A22" s="193"/>
      <c r="B22" s="210" t="s">
        <v>92</v>
      </c>
      <c r="C22" s="773">
        <f>-'Hoja de trabajo'!N27</f>
        <v>0</v>
      </c>
      <c r="D22" s="773">
        <f>-'Hoja de trabajo'!N71</f>
        <v>0</v>
      </c>
      <c r="E22" s="773">
        <f>-'Hoja de trabajo'!N115</f>
        <v>0</v>
      </c>
      <c r="F22" s="773">
        <f>-'Hoja de trabajo'!N159</f>
        <v>0</v>
      </c>
      <c r="G22" s="774">
        <f>-'Hoja de trabajo'!N203</f>
        <v>0</v>
      </c>
    </row>
    <row r="23" spans="1:7" ht="18.75" customHeight="1">
      <c r="A23" s="193"/>
      <c r="B23" s="210" t="s">
        <v>327</v>
      </c>
      <c r="C23" s="773">
        <f>-'Financiación a lp'!C163</f>
        <v>0</v>
      </c>
      <c r="D23" s="773">
        <f>-'Financiación a lp'!C168</f>
        <v>0</v>
      </c>
      <c r="E23" s="773">
        <f>-'Financiación a lp'!C173</f>
        <v>0</v>
      </c>
      <c r="F23" s="773">
        <f>-'Financiación a lp'!C178</f>
        <v>0</v>
      </c>
      <c r="G23" s="774">
        <f>-'Financiación a lp'!C183</f>
        <v>0</v>
      </c>
    </row>
    <row r="24" spans="1:7" ht="18.75" customHeight="1">
      <c r="A24" s="193"/>
      <c r="B24" s="210" t="s">
        <v>328</v>
      </c>
      <c r="C24" s="773">
        <f>'Hoja de trabajo'!O24-'Hoja de trabajo'!N24</f>
        <v>0</v>
      </c>
      <c r="D24" s="773">
        <f>'Hoja de trabajo'!O68-'Hoja de trabajo'!N68</f>
        <v>0</v>
      </c>
      <c r="E24" s="773">
        <f>'Hoja de trabajo'!O112-'Hoja de trabajo'!N112</f>
        <v>0</v>
      </c>
      <c r="F24" s="773">
        <f>'Hoja de trabajo'!O156-'Hoja de trabajo'!N156</f>
        <v>0</v>
      </c>
      <c r="G24" s="774">
        <f>'Hoja de trabajo'!O200-'Hoja de trabajo'!N200</f>
        <v>0</v>
      </c>
    </row>
    <row r="25" spans="1:7" ht="30">
      <c r="A25" s="411"/>
      <c r="B25" s="527" t="s">
        <v>393</v>
      </c>
      <c r="C25" s="777">
        <f>'Hoja de trabajo'!M13-'Hoja de trabajo'!L13+'Hoja de trabajo'!$M$25-'Hoja de trabajo'!$L$25+'Hoja de trabajo'!$M$30-'Hoja de trabajo'!$L$30</f>
        <v>0</v>
      </c>
      <c r="D25" s="777">
        <f>'Hoja de trabajo'!M57-'Hoja de trabajo'!L57+'Hoja de trabajo'!M69-'Hoja de trabajo'!L69+'Hoja de trabajo'!M74-'Hoja de trabajo'!L74</f>
        <v>0</v>
      </c>
      <c r="E25" s="777">
        <f>'Hoja de trabajo'!M101-'Hoja de trabajo'!L101+'Hoja de trabajo'!$M$113-'Hoja de trabajo'!$L$113+'Hoja de trabajo'!$M$118-'Hoja de trabajo'!$L$118</f>
        <v>0</v>
      </c>
      <c r="F25" s="777">
        <f>'Hoja de trabajo'!M145-'Hoja de trabajo'!L145+'Hoja de trabajo'!$M$157-'Hoja de trabajo'!$L$157+'Hoja de trabajo'!$M$162-'Hoja de trabajo'!$L$162</f>
        <v>0</v>
      </c>
      <c r="G25" s="778">
        <f>'Hoja de trabajo'!M189-'Hoja de trabajo'!L189+'Hoja de trabajo'!$M$206-'Hoja de trabajo'!$L$206+'Hoja de trabajo'!$M$201-'Hoja de trabajo'!$L$201</f>
        <v>0</v>
      </c>
    </row>
    <row r="26" spans="1:7" s="355" customFormat="1" ht="22.5" customHeight="1">
      <c r="A26" s="473" t="s">
        <v>93</v>
      </c>
      <c r="B26" s="474"/>
      <c r="C26" s="775">
        <f>C4+C13+C16</f>
        <v>0</v>
      </c>
      <c r="D26" s="775">
        <f>D4+D13+D16</f>
        <v>0</v>
      </c>
      <c r="E26" s="775">
        <f>E4+E13+E16</f>
        <v>0</v>
      </c>
      <c r="F26" s="775">
        <f>F4+F13+F16</f>
        <v>0</v>
      </c>
      <c r="G26" s="776">
        <f>G4+G13+G16</f>
        <v>0</v>
      </c>
    </row>
    <row r="27" spans="1:7" ht="18" customHeight="1">
      <c r="A27" s="411"/>
      <c r="B27" s="412" t="s">
        <v>94</v>
      </c>
      <c r="C27" s="779">
        <f>'Hoja de trabajo'!C14</f>
        <v>0</v>
      </c>
      <c r="D27" s="779">
        <f>C28</f>
        <v>0</v>
      </c>
      <c r="E27" s="779">
        <f>D28</f>
        <v>0</v>
      </c>
      <c r="F27" s="779">
        <f>E28</f>
        <v>0</v>
      </c>
      <c r="G27" s="780">
        <f>F28</f>
        <v>0</v>
      </c>
    </row>
    <row r="28" spans="1:7" s="355" customFormat="1" ht="22.5" customHeight="1" thickBot="1">
      <c r="A28" s="1087" t="s">
        <v>95</v>
      </c>
      <c r="B28" s="1088"/>
      <c r="C28" s="781">
        <f>SUM(C26:C27)</f>
        <v>0</v>
      </c>
      <c r="D28" s="781">
        <f>SUM(D26:D27)</f>
        <v>0</v>
      </c>
      <c r="E28" s="781">
        <f>SUM(E26:E27)</f>
        <v>0</v>
      </c>
      <c r="F28" s="781">
        <f>SUM(F26:F27)</f>
        <v>0</v>
      </c>
      <c r="G28" s="782">
        <f>SUM(G26:G27)</f>
        <v>0</v>
      </c>
    </row>
    <row r="31" spans="1:7">
      <c r="C31" s="161">
        <f>C28-'Presupuesto de capital'!E26</f>
        <v>0</v>
      </c>
      <c r="D31" s="161">
        <f>D28-'Presupuesto de capital'!F26</f>
        <v>0</v>
      </c>
      <c r="E31" s="161">
        <f>E28-'Presupuesto de capital'!G26</f>
        <v>0</v>
      </c>
      <c r="F31" s="161">
        <f>F28-'Presupuesto de capital'!H26</f>
        <v>0</v>
      </c>
      <c r="G31" s="161">
        <f>G28-'Presupuesto de capital'!I26</f>
        <v>0</v>
      </c>
    </row>
  </sheetData>
  <sheetProtection password="A6E9" sheet="1" formatColumns="0"/>
  <mergeCells count="3">
    <mergeCell ref="A2:G2"/>
    <mergeCell ref="A3:B3"/>
    <mergeCell ref="A28:B28"/>
  </mergeCells>
  <phoneticPr fontId="0" type="noConversion"/>
  <printOptions horizontalCentered="1" gridLinesSet="0"/>
  <pageMargins left="0.31496062992125984" right="0.55118110236220474" top="0.74803149606299213" bottom="0.59055118110236227" header="0.23622047244094491" footer="0.31496062992125984"/>
  <pageSetup paperSize="9" fitToHeight="3" orientation="landscape" horizontalDpi="4294967292" r:id="rId1"/>
  <headerFooter alignWithMargins="0">
    <oddHeader>&amp;C&amp;"Trebuchet MS,Normal"&amp;14&amp;U&amp;A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Button 1">
              <controlPr defaultSize="0" print="0" autoFill="0" autoPict="0" macro="[0]!Inicio">
                <anchor moveWithCells="1" sizeWithCells="1">
                  <from>
                    <xdr:col>0</xdr:col>
                    <xdr:colOff>142875</xdr:colOff>
                    <xdr:row>0</xdr:row>
                    <xdr:rowOff>76200</xdr:rowOff>
                  </from>
                  <to>
                    <xdr:col>1</xdr:col>
                    <xdr:colOff>990600</xdr:colOff>
                    <xdr:row>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/>
  </sheetPr>
  <dimension ref="A1:M126"/>
  <sheetViews>
    <sheetView showGridLines="0" showZeros="0" zoomScaleNormal="100" zoomScaleSheetLayoutView="5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25" sqref="E125"/>
    </sheetView>
  </sheetViews>
  <sheetFormatPr baseColWidth="10" defaultColWidth="11.25" defaultRowHeight="15"/>
  <cols>
    <col min="1" max="1" width="4.5" style="161" customWidth="1"/>
    <col min="2" max="2" width="45.5" style="161" customWidth="1"/>
    <col min="3" max="3" width="12.375" style="161" customWidth="1"/>
    <col min="4" max="4" width="5.25" style="161" customWidth="1"/>
    <col min="5" max="5" width="11.125" style="161" bestFit="1" customWidth="1"/>
    <col min="6" max="6" width="6" style="161" customWidth="1"/>
    <col min="7" max="7" width="10.625" style="161" bestFit="1" customWidth="1"/>
    <col min="8" max="8" width="6" style="161" customWidth="1"/>
    <col min="9" max="9" width="10.625" style="161" bestFit="1" customWidth="1"/>
    <col min="10" max="10" width="6" style="161" customWidth="1"/>
    <col min="11" max="11" width="10.875" style="161" bestFit="1" customWidth="1"/>
    <col min="12" max="12" width="11.25" style="161"/>
    <col min="13" max="13" width="11.25" style="161" hidden="1" customWidth="1"/>
    <col min="14" max="16384" width="11.25" style="161"/>
  </cols>
  <sheetData>
    <row r="1" spans="1:11" s="405" customFormat="1" ht="33" customHeight="1" thickBot="1">
      <c r="A1" s="1029" t="s">
        <v>331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80"/>
    </row>
    <row r="2" spans="1:11" s="7" customFormat="1" ht="33" customHeight="1" thickBot="1">
      <c r="A2" s="1085" t="s">
        <v>74</v>
      </c>
      <c r="B2" s="1086"/>
      <c r="C2" s="406" t="s">
        <v>285</v>
      </c>
      <c r="D2" s="1089" t="s">
        <v>75</v>
      </c>
      <c r="E2" s="1091"/>
      <c r="F2" s="1089" t="s">
        <v>76</v>
      </c>
      <c r="G2" s="1091"/>
      <c r="H2" s="1089" t="s">
        <v>77</v>
      </c>
      <c r="I2" s="1091"/>
      <c r="J2" s="1089" t="s">
        <v>78</v>
      </c>
      <c r="K2" s="1090"/>
    </row>
    <row r="3" spans="1:11" ht="22.5" customHeight="1">
      <c r="A3" s="467" t="s">
        <v>79</v>
      </c>
      <c r="B3" s="468"/>
      <c r="C3" s="469">
        <f>SUM(C4:C10)</f>
        <v>0</v>
      </c>
      <c r="D3" s="470"/>
      <c r="E3" s="469">
        <f>SUM(E4:E10)</f>
        <v>0</v>
      </c>
      <c r="F3" s="471"/>
      <c r="G3" s="469">
        <f>SUM(G4:G10)</f>
        <v>0</v>
      </c>
      <c r="H3" s="471"/>
      <c r="I3" s="469">
        <f>SUM(I4:I10)</f>
        <v>0</v>
      </c>
      <c r="J3" s="471"/>
      <c r="K3" s="472">
        <f>SUM(K4:K10)</f>
        <v>0</v>
      </c>
    </row>
    <row r="4" spans="1:11" ht="14.25" customHeight="1">
      <c r="A4" s="193"/>
      <c r="B4" s="210" t="s">
        <v>80</v>
      </c>
      <c r="C4" s="407">
        <f>Tesorería!C5</f>
        <v>0</v>
      </c>
      <c r="D4" s="421">
        <v>0.1</v>
      </c>
      <c r="E4" s="407">
        <f t="shared" ref="E4:E9" si="0">C4*D4</f>
        <v>0</v>
      </c>
      <c r="F4" s="422">
        <v>0.3</v>
      </c>
      <c r="G4" s="407">
        <f t="shared" ref="G4:G9" si="1">F4*C4</f>
        <v>0</v>
      </c>
      <c r="H4" s="422">
        <v>0.3</v>
      </c>
      <c r="I4" s="407">
        <f t="shared" ref="I4:I9" si="2">H4*C4</f>
        <v>0</v>
      </c>
      <c r="J4" s="408">
        <f t="shared" ref="J4:J9" si="3">1-H4-F4-D4</f>
        <v>0.29999999999999993</v>
      </c>
      <c r="K4" s="409">
        <f t="shared" ref="K4:K9" si="4">J4*C4</f>
        <v>0</v>
      </c>
    </row>
    <row r="5" spans="1:11">
      <c r="A5" s="193"/>
      <c r="B5" s="210" t="s">
        <v>81</v>
      </c>
      <c r="C5" s="407">
        <f>Tesorería!C6</f>
        <v>0</v>
      </c>
      <c r="D5" s="421">
        <v>0.1</v>
      </c>
      <c r="E5" s="407">
        <f t="shared" si="0"/>
        <v>0</v>
      </c>
      <c r="F5" s="422">
        <v>0.3</v>
      </c>
      <c r="G5" s="407">
        <f t="shared" si="1"/>
        <v>0</v>
      </c>
      <c r="H5" s="422">
        <v>0.3</v>
      </c>
      <c r="I5" s="407">
        <f t="shared" si="2"/>
        <v>0</v>
      </c>
      <c r="J5" s="408">
        <f t="shared" si="3"/>
        <v>0.29999999999999993</v>
      </c>
      <c r="K5" s="409">
        <f t="shared" si="4"/>
        <v>0</v>
      </c>
    </row>
    <row r="6" spans="1:11">
      <c r="A6" s="193"/>
      <c r="B6" s="210" t="s">
        <v>82</v>
      </c>
      <c r="C6" s="407">
        <f>Tesorería!C7</f>
        <v>0</v>
      </c>
      <c r="D6" s="421">
        <v>0.25</v>
      </c>
      <c r="E6" s="407">
        <f t="shared" si="0"/>
        <v>0</v>
      </c>
      <c r="F6" s="422">
        <v>0.25</v>
      </c>
      <c r="G6" s="407">
        <f t="shared" si="1"/>
        <v>0</v>
      </c>
      <c r="H6" s="422">
        <v>0.25</v>
      </c>
      <c r="I6" s="407">
        <f t="shared" si="2"/>
        <v>0</v>
      </c>
      <c r="J6" s="408">
        <f t="shared" si="3"/>
        <v>0.25</v>
      </c>
      <c r="K6" s="409">
        <f t="shared" si="4"/>
        <v>0</v>
      </c>
    </row>
    <row r="7" spans="1:11">
      <c r="A7" s="193"/>
      <c r="B7" s="210" t="s">
        <v>83</v>
      </c>
      <c r="C7" s="407">
        <f>Tesorería!C9</f>
        <v>0</v>
      </c>
      <c r="D7" s="421">
        <v>0.25</v>
      </c>
      <c r="E7" s="407">
        <f t="shared" si="0"/>
        <v>0</v>
      </c>
      <c r="F7" s="422">
        <v>0.25</v>
      </c>
      <c r="G7" s="407">
        <f t="shared" si="1"/>
        <v>0</v>
      </c>
      <c r="H7" s="422">
        <v>0.25</v>
      </c>
      <c r="I7" s="407">
        <f t="shared" si="2"/>
        <v>0</v>
      </c>
      <c r="J7" s="408">
        <f t="shared" si="3"/>
        <v>0.25</v>
      </c>
      <c r="K7" s="409">
        <f t="shared" si="4"/>
        <v>0</v>
      </c>
    </row>
    <row r="8" spans="1:11">
      <c r="A8" s="193"/>
      <c r="B8" s="210" t="s">
        <v>392</v>
      </c>
      <c r="C8" s="407">
        <f>Tesorería!C10</f>
        <v>0</v>
      </c>
      <c r="D8" s="421">
        <v>0.25</v>
      </c>
      <c r="E8" s="407">
        <f t="shared" si="0"/>
        <v>0</v>
      </c>
      <c r="F8" s="422">
        <v>0.25</v>
      </c>
      <c r="G8" s="407">
        <f t="shared" si="1"/>
        <v>0</v>
      </c>
      <c r="H8" s="422">
        <v>0.25</v>
      </c>
      <c r="I8" s="407">
        <f t="shared" si="2"/>
        <v>0</v>
      </c>
      <c r="J8" s="408">
        <f t="shared" si="3"/>
        <v>0.25</v>
      </c>
      <c r="K8" s="409">
        <f t="shared" si="4"/>
        <v>0</v>
      </c>
    </row>
    <row r="9" spans="1:11" ht="16.5" customHeight="1">
      <c r="A9" s="193"/>
      <c r="B9" s="210" t="s">
        <v>131</v>
      </c>
      <c r="C9" s="407">
        <f>Tesorería!C11</f>
        <v>0</v>
      </c>
      <c r="D9" s="421"/>
      <c r="E9" s="407">
        <f t="shared" si="0"/>
        <v>0</v>
      </c>
      <c r="F9" s="422"/>
      <c r="G9" s="407">
        <f t="shared" si="1"/>
        <v>0</v>
      </c>
      <c r="H9" s="422">
        <v>1</v>
      </c>
      <c r="I9" s="407">
        <f t="shared" si="2"/>
        <v>0</v>
      </c>
      <c r="J9" s="408">
        <f t="shared" si="3"/>
        <v>0</v>
      </c>
      <c r="K9" s="409">
        <f t="shared" si="4"/>
        <v>0</v>
      </c>
    </row>
    <row r="10" spans="1:11">
      <c r="A10" s="193"/>
      <c r="B10" s="210" t="s">
        <v>85</v>
      </c>
      <c r="C10" s="407">
        <f>Tesorería!C12</f>
        <v>0</v>
      </c>
      <c r="D10" s="410"/>
      <c r="E10" s="407">
        <f>-'Financiación a lp'!B159</f>
        <v>0</v>
      </c>
      <c r="F10" s="408"/>
      <c r="G10" s="407">
        <f>-'Financiación a lp'!B160</f>
        <v>0</v>
      </c>
      <c r="H10" s="408"/>
      <c r="I10" s="407">
        <f>-'Financiación a lp'!B161</f>
        <v>0</v>
      </c>
      <c r="J10" s="408"/>
      <c r="K10" s="409">
        <f>-'Financiación a lp'!B162</f>
        <v>0</v>
      </c>
    </row>
    <row r="11" spans="1:11" ht="22.5" customHeight="1">
      <c r="A11" s="473" t="s">
        <v>86</v>
      </c>
      <c r="B11" s="474"/>
      <c r="C11" s="475">
        <f>SUM(C12:C13)</f>
        <v>0</v>
      </c>
      <c r="D11" s="476"/>
      <c r="E11" s="475">
        <f>SUM(E12:E13)</f>
        <v>0</v>
      </c>
      <c r="F11" s="477"/>
      <c r="G11" s="475">
        <f>SUM(G12:G13)</f>
        <v>0</v>
      </c>
      <c r="H11" s="477"/>
      <c r="I11" s="475">
        <f>SUM(I12:I13)</f>
        <v>0</v>
      </c>
      <c r="J11" s="477"/>
      <c r="K11" s="478">
        <f>SUM(K12:K13)</f>
        <v>0</v>
      </c>
    </row>
    <row r="12" spans="1:11" ht="18" customHeight="1">
      <c r="A12" s="193"/>
      <c r="B12" s="210" t="s">
        <v>87</v>
      </c>
      <c r="C12" s="407">
        <f>Tesorería!C14</f>
        <v>0</v>
      </c>
      <c r="D12" s="421"/>
      <c r="E12" s="407">
        <f>C12*D12</f>
        <v>0</v>
      </c>
      <c r="F12" s="422"/>
      <c r="G12" s="407">
        <f>F12*C12</f>
        <v>0</v>
      </c>
      <c r="H12" s="422"/>
      <c r="I12" s="407">
        <f>H12*C12</f>
        <v>0</v>
      </c>
      <c r="J12" s="408">
        <f>1-H12-F12-D12</f>
        <v>1</v>
      </c>
      <c r="K12" s="409">
        <f>J12*C12</f>
        <v>0</v>
      </c>
    </row>
    <row r="13" spans="1:11">
      <c r="A13" s="411"/>
      <c r="B13" s="412" t="s">
        <v>88</v>
      </c>
      <c r="C13" s="407">
        <f>Tesorería!C15</f>
        <v>0</v>
      </c>
      <c r="D13" s="423">
        <v>1</v>
      </c>
      <c r="E13" s="413">
        <f>C13*D13</f>
        <v>0</v>
      </c>
      <c r="F13" s="424"/>
      <c r="G13" s="413">
        <f>F13*C13</f>
        <v>0</v>
      </c>
      <c r="H13" s="424"/>
      <c r="I13" s="413">
        <f>H13*C13</f>
        <v>0</v>
      </c>
      <c r="J13" s="414">
        <f>1-H13-F13-D13</f>
        <v>0</v>
      </c>
      <c r="K13" s="415">
        <f>J13*C13</f>
        <v>0</v>
      </c>
    </row>
    <row r="14" spans="1:11" ht="22.5" customHeight="1">
      <c r="A14" s="473" t="s">
        <v>89</v>
      </c>
      <c r="B14" s="474"/>
      <c r="C14" s="475">
        <f>SUM(C15:C23)</f>
        <v>0</v>
      </c>
      <c r="D14" s="476"/>
      <c r="E14" s="475">
        <f>SUM(E15:E23)</f>
        <v>0</v>
      </c>
      <c r="F14" s="477"/>
      <c r="G14" s="475">
        <f>SUM(G15:G23)</f>
        <v>0</v>
      </c>
      <c r="H14" s="477"/>
      <c r="I14" s="475">
        <f>SUM(I15:I23)</f>
        <v>0</v>
      </c>
      <c r="J14" s="477"/>
      <c r="K14" s="478">
        <f>SUM(K15:K23)</f>
        <v>0</v>
      </c>
    </row>
    <row r="15" spans="1:11" ht="18" customHeight="1">
      <c r="A15" s="193"/>
      <c r="B15" s="210" t="s">
        <v>90</v>
      </c>
      <c r="C15" s="407">
        <f>Tesorería!C17</f>
        <v>0</v>
      </c>
      <c r="D15" s="421">
        <v>1</v>
      </c>
      <c r="E15" s="407">
        <f>C15*D15</f>
        <v>0</v>
      </c>
      <c r="F15" s="422"/>
      <c r="G15" s="407">
        <f>F15*C15</f>
        <v>0</v>
      </c>
      <c r="H15" s="422"/>
      <c r="I15" s="407">
        <f>H15*C15</f>
        <v>0</v>
      </c>
      <c r="J15" s="408">
        <f>1-H15-F15-D15</f>
        <v>0</v>
      </c>
      <c r="K15" s="409">
        <f t="shared" ref="K15:K20" si="5">J15*C15</f>
        <v>0</v>
      </c>
    </row>
    <row r="16" spans="1:11" ht="18" customHeight="1">
      <c r="A16" s="193"/>
      <c r="B16" s="210" t="s">
        <v>264</v>
      </c>
      <c r="C16" s="407">
        <f>Tesorería!C18</f>
        <v>0</v>
      </c>
      <c r="D16" s="421">
        <v>1</v>
      </c>
      <c r="E16" s="407">
        <f>C16*D16</f>
        <v>0</v>
      </c>
      <c r="F16" s="422"/>
      <c r="G16" s="407">
        <f>F16*C16</f>
        <v>0</v>
      </c>
      <c r="H16" s="422"/>
      <c r="I16" s="407">
        <f>H16*C16</f>
        <v>0</v>
      </c>
      <c r="J16" s="408">
        <f>1-H16-F16-D16</f>
        <v>0</v>
      </c>
      <c r="K16" s="409">
        <f t="shared" si="5"/>
        <v>0</v>
      </c>
    </row>
    <row r="17" spans="1:13" ht="18" customHeight="1">
      <c r="A17" s="193"/>
      <c r="B17" s="210" t="s">
        <v>469</v>
      </c>
      <c r="C17" s="407">
        <f>Tesorería!C19</f>
        <v>0</v>
      </c>
      <c r="D17" s="421">
        <v>1</v>
      </c>
      <c r="E17" s="407">
        <f>C17*D17</f>
        <v>0</v>
      </c>
      <c r="F17" s="422"/>
      <c r="G17" s="407">
        <f>F17*C17</f>
        <v>0</v>
      </c>
      <c r="H17" s="422"/>
      <c r="I17" s="407">
        <f>H17*C17</f>
        <v>0</v>
      </c>
      <c r="J17" s="408">
        <f>1-H17-F17-D17</f>
        <v>0</v>
      </c>
      <c r="K17" s="409">
        <f t="shared" si="5"/>
        <v>0</v>
      </c>
    </row>
    <row r="18" spans="1:13" ht="18" customHeight="1">
      <c r="A18" s="193"/>
      <c r="B18" s="210" t="s">
        <v>322</v>
      </c>
      <c r="C18" s="407">
        <f>Tesorería!C20</f>
        <v>0</v>
      </c>
      <c r="D18" s="421">
        <v>1</v>
      </c>
      <c r="E18" s="407">
        <f>C18*D18</f>
        <v>0</v>
      </c>
      <c r="F18" s="422"/>
      <c r="G18" s="407">
        <f>F18*C18</f>
        <v>0</v>
      </c>
      <c r="H18" s="422"/>
      <c r="I18" s="407">
        <f>H18*C18</f>
        <v>0</v>
      </c>
      <c r="J18" s="408">
        <f>1-H18-F18-D18</f>
        <v>0</v>
      </c>
      <c r="K18" s="409">
        <f t="shared" si="5"/>
        <v>0</v>
      </c>
    </row>
    <row r="19" spans="1:13">
      <c r="A19" s="193"/>
      <c r="B19" s="210" t="s">
        <v>91</v>
      </c>
      <c r="C19" s="407">
        <f>Tesorería!C21</f>
        <v>0</v>
      </c>
      <c r="D19" s="410"/>
      <c r="E19" s="407"/>
      <c r="F19" s="408"/>
      <c r="G19" s="407"/>
      <c r="H19" s="408"/>
      <c r="I19" s="407"/>
      <c r="J19" s="408"/>
      <c r="K19" s="409">
        <f t="shared" si="5"/>
        <v>0</v>
      </c>
    </row>
    <row r="20" spans="1:13">
      <c r="A20" s="193"/>
      <c r="B20" s="210" t="s">
        <v>92</v>
      </c>
      <c r="C20" s="407">
        <f>Tesorería!C22</f>
        <v>0</v>
      </c>
      <c r="D20" s="421"/>
      <c r="E20" s="407">
        <f>C20*D20</f>
        <v>0</v>
      </c>
      <c r="F20" s="422"/>
      <c r="G20" s="407">
        <f>F20*C20</f>
        <v>0</v>
      </c>
      <c r="H20" s="422">
        <v>1</v>
      </c>
      <c r="I20" s="407">
        <f>H20*C20</f>
        <v>0</v>
      </c>
      <c r="J20" s="408">
        <f>1-H20-F20-D20</f>
        <v>0</v>
      </c>
      <c r="K20" s="409">
        <f t="shared" si="5"/>
        <v>0</v>
      </c>
    </row>
    <row r="21" spans="1:13">
      <c r="A21" s="193"/>
      <c r="B21" s="210" t="s">
        <v>327</v>
      </c>
      <c r="C21" s="407">
        <f>Tesorería!C23</f>
        <v>0</v>
      </c>
      <c r="D21" s="410"/>
      <c r="E21" s="407">
        <f>-'Financiación a lp'!C159</f>
        <v>0</v>
      </c>
      <c r="F21" s="408"/>
      <c r="G21" s="407">
        <f>-'Financiación a lp'!C160</f>
        <v>0</v>
      </c>
      <c r="H21" s="408"/>
      <c r="I21" s="407">
        <f>-'Financiación a lp'!C161</f>
        <v>0</v>
      </c>
      <c r="J21" s="408"/>
      <c r="K21" s="409">
        <f>-'Financiación a lp'!C162</f>
        <v>0</v>
      </c>
    </row>
    <row r="22" spans="1:13">
      <c r="A22" s="193"/>
      <c r="B22" s="210" t="s">
        <v>328</v>
      </c>
      <c r="C22" s="407">
        <f>Tesorería!C24</f>
        <v>0</v>
      </c>
      <c r="D22" s="421">
        <v>0.25</v>
      </c>
      <c r="E22" s="416">
        <f>C22*D22</f>
        <v>0</v>
      </c>
      <c r="F22" s="422">
        <v>0.25</v>
      </c>
      <c r="G22" s="407">
        <f>F22*C22</f>
        <v>0</v>
      </c>
      <c r="H22" s="422">
        <v>0.25</v>
      </c>
      <c r="I22" s="407">
        <f>H22*C22</f>
        <v>0</v>
      </c>
      <c r="J22" s="408">
        <f>1-H22-F22-D22</f>
        <v>0.25</v>
      </c>
      <c r="K22" s="409">
        <f>J22*C22</f>
        <v>0</v>
      </c>
    </row>
    <row r="23" spans="1:13" ht="30">
      <c r="A23" s="411"/>
      <c r="B23" s="527" t="s">
        <v>393</v>
      </c>
      <c r="C23" s="407">
        <f>Tesorería!C25</f>
        <v>0</v>
      </c>
      <c r="D23" s="423">
        <v>0.25</v>
      </c>
      <c r="E23" s="413">
        <f>C23*D23</f>
        <v>0</v>
      </c>
      <c r="F23" s="424">
        <v>0.25</v>
      </c>
      <c r="G23" s="413">
        <f>F23*C23</f>
        <v>0</v>
      </c>
      <c r="H23" s="424">
        <v>0.25</v>
      </c>
      <c r="I23" s="413">
        <f>H23*C23</f>
        <v>0</v>
      </c>
      <c r="J23" s="414">
        <f>1-H23-F23-D23</f>
        <v>0.25</v>
      </c>
      <c r="K23" s="415">
        <f>J23*C23</f>
        <v>0</v>
      </c>
    </row>
    <row r="24" spans="1:13" s="355" customFormat="1" ht="22.5" customHeight="1">
      <c r="A24" s="473" t="s">
        <v>93</v>
      </c>
      <c r="B24" s="474"/>
      <c r="C24" s="475">
        <f>C3+C11+C14</f>
        <v>0</v>
      </c>
      <c r="D24" s="476"/>
      <c r="E24" s="475">
        <f>E3+E11+E14</f>
        <v>0</v>
      </c>
      <c r="F24" s="477"/>
      <c r="G24" s="475">
        <f>G3+G11+G14</f>
        <v>0</v>
      </c>
      <c r="H24" s="477"/>
      <c r="I24" s="475">
        <f>I3+I11+I14</f>
        <v>0</v>
      </c>
      <c r="J24" s="477"/>
      <c r="K24" s="478">
        <f>K3+K11+K14</f>
        <v>0</v>
      </c>
    </row>
    <row r="25" spans="1:13" ht="15.75" customHeight="1">
      <c r="A25" s="411"/>
      <c r="B25" s="412" t="s">
        <v>94</v>
      </c>
      <c r="C25" s="407">
        <f>Tesorería!C27</f>
        <v>0</v>
      </c>
      <c r="D25" s="410"/>
      <c r="E25" s="407">
        <f>C25</f>
        <v>0</v>
      </c>
      <c r="F25" s="408"/>
      <c r="G25" s="407">
        <f>E26</f>
        <v>0</v>
      </c>
      <c r="H25" s="408"/>
      <c r="I25" s="407">
        <f>G26</f>
        <v>0</v>
      </c>
      <c r="J25" s="408"/>
      <c r="K25" s="409">
        <f>I26</f>
        <v>0</v>
      </c>
    </row>
    <row r="26" spans="1:13" s="355" customFormat="1" ht="22.5" customHeight="1" thickBot="1">
      <c r="A26" s="1087" t="s">
        <v>95</v>
      </c>
      <c r="B26" s="1088"/>
      <c r="C26" s="417">
        <f>SUM(C24:C25)</f>
        <v>0</v>
      </c>
      <c r="D26" s="418"/>
      <c r="E26" s="417">
        <f>SUM(E24:E25)</f>
        <v>0</v>
      </c>
      <c r="F26" s="418"/>
      <c r="G26" s="417">
        <f>SUM(G24:G25)</f>
        <v>0</v>
      </c>
      <c r="H26" s="418"/>
      <c r="I26" s="417">
        <f>SUM(I24:I25)</f>
        <v>0</v>
      </c>
      <c r="J26" s="418"/>
      <c r="K26" s="419">
        <f>SUM(K24:K25)</f>
        <v>0</v>
      </c>
      <c r="M26" s="355">
        <f>C26-'Presupuesto de capital'!E26</f>
        <v>0</v>
      </c>
    </row>
    <row r="27" spans="1:13" s="7" customFormat="1" ht="33" customHeight="1" thickBot="1">
      <c r="A27" s="1085" t="s">
        <v>96</v>
      </c>
      <c r="B27" s="1086"/>
      <c r="C27" s="406" t="s">
        <v>285</v>
      </c>
      <c r="D27" s="1089" t="s">
        <v>75</v>
      </c>
      <c r="E27" s="1091"/>
      <c r="F27" s="1089" t="s">
        <v>76</v>
      </c>
      <c r="G27" s="1091"/>
      <c r="H27" s="1089" t="s">
        <v>77</v>
      </c>
      <c r="I27" s="1091"/>
      <c r="J27" s="1089" t="s">
        <v>78</v>
      </c>
      <c r="K27" s="1090"/>
    </row>
    <row r="28" spans="1:13" ht="22.5" customHeight="1">
      <c r="A28" s="467" t="s">
        <v>79</v>
      </c>
      <c r="B28" s="468"/>
      <c r="C28" s="469">
        <f>SUM(C29:C35)</f>
        <v>0</v>
      </c>
      <c r="D28" s="470"/>
      <c r="E28" s="469">
        <f>SUM(E29:E35)</f>
        <v>0</v>
      </c>
      <c r="F28" s="471"/>
      <c r="G28" s="469">
        <f>SUM(G29:G35)</f>
        <v>0</v>
      </c>
      <c r="H28" s="471"/>
      <c r="I28" s="469">
        <f>SUM(I29:I35)</f>
        <v>0</v>
      </c>
      <c r="J28" s="471"/>
      <c r="K28" s="472">
        <f>SUM(K29:K35)</f>
        <v>0</v>
      </c>
    </row>
    <row r="29" spans="1:13" ht="15" customHeight="1">
      <c r="A29" s="193"/>
      <c r="B29" s="210" t="s">
        <v>80</v>
      </c>
      <c r="C29" s="407">
        <f>Tesorería!D5</f>
        <v>0</v>
      </c>
      <c r="D29" s="421">
        <v>0.25</v>
      </c>
      <c r="E29" s="407">
        <f t="shared" ref="E29:E34" si="6">C29*D29</f>
        <v>0</v>
      </c>
      <c r="F29" s="422">
        <v>0.25</v>
      </c>
      <c r="G29" s="407">
        <f t="shared" ref="G29:G34" si="7">F29*C29</f>
        <v>0</v>
      </c>
      <c r="H29" s="422">
        <v>0.25</v>
      </c>
      <c r="I29" s="407">
        <f t="shared" ref="I29:I34" si="8">H29*C29</f>
        <v>0</v>
      </c>
      <c r="J29" s="408">
        <f t="shared" ref="J29:J34" si="9">1-H29-F29-D29</f>
        <v>0.25</v>
      </c>
      <c r="K29" s="409">
        <f t="shared" ref="K29:K34" si="10">J29*C29</f>
        <v>0</v>
      </c>
    </row>
    <row r="30" spans="1:13" ht="15" customHeight="1">
      <c r="A30" s="193"/>
      <c r="B30" s="210" t="s">
        <v>81</v>
      </c>
      <c r="C30" s="407">
        <f>Tesorería!D6</f>
        <v>0</v>
      </c>
      <c r="D30" s="421">
        <v>0.25</v>
      </c>
      <c r="E30" s="407">
        <f t="shared" si="6"/>
        <v>0</v>
      </c>
      <c r="F30" s="422">
        <v>0.25</v>
      </c>
      <c r="G30" s="407">
        <f t="shared" si="7"/>
        <v>0</v>
      </c>
      <c r="H30" s="422">
        <v>0.25</v>
      </c>
      <c r="I30" s="407">
        <f t="shared" si="8"/>
        <v>0</v>
      </c>
      <c r="J30" s="408">
        <f t="shared" si="9"/>
        <v>0.25</v>
      </c>
      <c r="K30" s="409">
        <f t="shared" si="10"/>
        <v>0</v>
      </c>
    </row>
    <row r="31" spans="1:13" ht="15" customHeight="1">
      <c r="A31" s="193"/>
      <c r="B31" s="210" t="s">
        <v>82</v>
      </c>
      <c r="C31" s="407">
        <f>Tesorería!D7</f>
        <v>0</v>
      </c>
      <c r="D31" s="421">
        <v>0.25</v>
      </c>
      <c r="E31" s="407">
        <f t="shared" si="6"/>
        <v>0</v>
      </c>
      <c r="F31" s="422">
        <v>0.25</v>
      </c>
      <c r="G31" s="407">
        <f t="shared" si="7"/>
        <v>0</v>
      </c>
      <c r="H31" s="422">
        <v>0.25</v>
      </c>
      <c r="I31" s="407">
        <f t="shared" si="8"/>
        <v>0</v>
      </c>
      <c r="J31" s="408">
        <f t="shared" si="9"/>
        <v>0.25</v>
      </c>
      <c r="K31" s="409">
        <f t="shared" si="10"/>
        <v>0</v>
      </c>
    </row>
    <row r="32" spans="1:13" ht="15" customHeight="1">
      <c r="A32" s="193"/>
      <c r="B32" s="210" t="s">
        <v>83</v>
      </c>
      <c r="C32" s="407">
        <f>Tesorería!D9</f>
        <v>0</v>
      </c>
      <c r="D32" s="421">
        <v>0.25</v>
      </c>
      <c r="E32" s="407">
        <f t="shared" si="6"/>
        <v>0</v>
      </c>
      <c r="F32" s="422">
        <v>0.25</v>
      </c>
      <c r="G32" s="407">
        <f t="shared" si="7"/>
        <v>0</v>
      </c>
      <c r="H32" s="422">
        <v>0.25</v>
      </c>
      <c r="I32" s="407">
        <f t="shared" si="8"/>
        <v>0</v>
      </c>
      <c r="J32" s="408">
        <f t="shared" si="9"/>
        <v>0.25</v>
      </c>
      <c r="K32" s="409">
        <f t="shared" si="10"/>
        <v>0</v>
      </c>
    </row>
    <row r="33" spans="1:11" ht="15" customHeight="1">
      <c r="A33" s="193"/>
      <c r="B33" s="210" t="s">
        <v>84</v>
      </c>
      <c r="C33" s="407">
        <f>Tesorería!D10</f>
        <v>0</v>
      </c>
      <c r="D33" s="421">
        <v>0.25</v>
      </c>
      <c r="E33" s="407">
        <f t="shared" si="6"/>
        <v>0</v>
      </c>
      <c r="F33" s="422">
        <v>0.25</v>
      </c>
      <c r="G33" s="407">
        <f t="shared" si="7"/>
        <v>0</v>
      </c>
      <c r="H33" s="422">
        <v>0.25</v>
      </c>
      <c r="I33" s="407">
        <f t="shared" si="8"/>
        <v>0</v>
      </c>
      <c r="J33" s="408">
        <f t="shared" si="9"/>
        <v>0.25</v>
      </c>
      <c r="K33" s="409">
        <f t="shared" si="10"/>
        <v>0</v>
      </c>
    </row>
    <row r="34" spans="1:11" ht="15" customHeight="1">
      <c r="A34" s="193"/>
      <c r="B34" s="210" t="s">
        <v>131</v>
      </c>
      <c r="C34" s="407">
        <f>Tesorería!D11</f>
        <v>0</v>
      </c>
      <c r="D34" s="421"/>
      <c r="E34" s="407">
        <f t="shared" si="6"/>
        <v>0</v>
      </c>
      <c r="F34" s="422"/>
      <c r="G34" s="407">
        <f t="shared" si="7"/>
        <v>0</v>
      </c>
      <c r="H34" s="422">
        <v>1</v>
      </c>
      <c r="I34" s="407">
        <f t="shared" si="8"/>
        <v>0</v>
      </c>
      <c r="J34" s="408">
        <f t="shared" si="9"/>
        <v>0</v>
      </c>
      <c r="K34" s="409">
        <f t="shared" si="10"/>
        <v>0</v>
      </c>
    </row>
    <row r="35" spans="1:11" ht="15" customHeight="1">
      <c r="A35" s="193"/>
      <c r="B35" s="210" t="s">
        <v>85</v>
      </c>
      <c r="C35" s="407">
        <f>Tesorería!D12</f>
        <v>0</v>
      </c>
      <c r="D35" s="410"/>
      <c r="E35" s="407">
        <f>-'Financiación a lp'!B164</f>
        <v>0</v>
      </c>
      <c r="F35" s="408"/>
      <c r="G35" s="407">
        <f>-'Financiación a lp'!B165</f>
        <v>0</v>
      </c>
      <c r="H35" s="408"/>
      <c r="I35" s="407">
        <f>-'Financiación a lp'!B166</f>
        <v>0</v>
      </c>
      <c r="J35" s="408"/>
      <c r="K35" s="409">
        <f>-'Financiación a lp'!B167</f>
        <v>0</v>
      </c>
    </row>
    <row r="36" spans="1:11" ht="22.5" customHeight="1">
      <c r="A36" s="473" t="s">
        <v>86</v>
      </c>
      <c r="B36" s="474"/>
      <c r="C36" s="475">
        <f>SUM(C37:C38)</f>
        <v>0</v>
      </c>
      <c r="D36" s="476"/>
      <c r="E36" s="475">
        <f>SUM(E37:E38)</f>
        <v>0</v>
      </c>
      <c r="F36" s="477"/>
      <c r="G36" s="475">
        <f>SUM(G37:G38)</f>
        <v>0</v>
      </c>
      <c r="H36" s="477"/>
      <c r="I36" s="475">
        <f>SUM(I37:I38)</f>
        <v>0</v>
      </c>
      <c r="J36" s="477"/>
      <c r="K36" s="478">
        <f>SUM(K37:K38)</f>
        <v>0</v>
      </c>
    </row>
    <row r="37" spans="1:11" ht="15" customHeight="1">
      <c r="A37" s="193"/>
      <c r="B37" s="210" t="s">
        <v>87</v>
      </c>
      <c r="C37" s="407">
        <f>Tesorería!D14</f>
        <v>0</v>
      </c>
      <c r="D37" s="421"/>
      <c r="E37" s="407">
        <f>C37*D37</f>
        <v>0</v>
      </c>
      <c r="F37" s="422"/>
      <c r="G37" s="407">
        <f>F37*C37</f>
        <v>0</v>
      </c>
      <c r="H37" s="422"/>
      <c r="I37" s="407">
        <f>H37*C37</f>
        <v>0</v>
      </c>
      <c r="J37" s="408">
        <f>1-H37-F37-D37</f>
        <v>1</v>
      </c>
      <c r="K37" s="409">
        <f>J37*C37</f>
        <v>0</v>
      </c>
    </row>
    <row r="38" spans="1:11" ht="15" customHeight="1">
      <c r="A38" s="411"/>
      <c r="B38" s="412" t="s">
        <v>88</v>
      </c>
      <c r="C38" s="407">
        <f>Tesorería!D15</f>
        <v>0</v>
      </c>
      <c r="D38" s="423">
        <v>1</v>
      </c>
      <c r="E38" s="413">
        <f>C38*D38</f>
        <v>0</v>
      </c>
      <c r="F38" s="424"/>
      <c r="G38" s="413">
        <f>F38*C38</f>
        <v>0</v>
      </c>
      <c r="H38" s="424"/>
      <c r="I38" s="413">
        <f>H38*C38</f>
        <v>0</v>
      </c>
      <c r="J38" s="414">
        <f>1-H38-F38-D38</f>
        <v>0</v>
      </c>
      <c r="K38" s="415">
        <f>J38*C38</f>
        <v>0</v>
      </c>
    </row>
    <row r="39" spans="1:11" ht="22.5" customHeight="1">
      <c r="A39" s="473" t="s">
        <v>89</v>
      </c>
      <c r="B39" s="474"/>
      <c r="C39" s="475">
        <f>SUM(C40:C48)</f>
        <v>0</v>
      </c>
      <c r="D39" s="476"/>
      <c r="E39" s="475">
        <f>SUM(E40:E48)</f>
        <v>0</v>
      </c>
      <c r="F39" s="477"/>
      <c r="G39" s="475">
        <f>SUM(G40:G48)</f>
        <v>0</v>
      </c>
      <c r="H39" s="477"/>
      <c r="I39" s="475">
        <f>SUM(I40:I48)</f>
        <v>0</v>
      </c>
      <c r="J39" s="477"/>
      <c r="K39" s="478">
        <f>SUM(K40:K48)</f>
        <v>0</v>
      </c>
    </row>
    <row r="40" spans="1:11" ht="15" customHeight="1">
      <c r="A40" s="193"/>
      <c r="B40" s="210" t="s">
        <v>90</v>
      </c>
      <c r="C40" s="407">
        <f>Tesorería!D17</f>
        <v>0</v>
      </c>
      <c r="D40" s="421">
        <v>1</v>
      </c>
      <c r="E40" s="407">
        <f t="shared" ref="E40:E45" si="11">C40*D40</f>
        <v>0</v>
      </c>
      <c r="F40" s="422"/>
      <c r="G40" s="407">
        <f>F40*C40</f>
        <v>0</v>
      </c>
      <c r="H40" s="422"/>
      <c r="I40" s="407">
        <f>H40*C40</f>
        <v>0</v>
      </c>
      <c r="J40" s="408">
        <f>1-H40-F40-D40</f>
        <v>0</v>
      </c>
      <c r="K40" s="409">
        <f>J40*C40</f>
        <v>0</v>
      </c>
    </row>
    <row r="41" spans="1:11" ht="15" customHeight="1">
      <c r="A41" s="193"/>
      <c r="B41" s="210" t="s">
        <v>264</v>
      </c>
      <c r="C41" s="407">
        <f>Tesorería!D18</f>
        <v>0</v>
      </c>
      <c r="D41" s="421">
        <v>1</v>
      </c>
      <c r="E41" s="407">
        <f t="shared" si="11"/>
        <v>0</v>
      </c>
      <c r="F41" s="422"/>
      <c r="G41" s="407">
        <f>F41*C41</f>
        <v>0</v>
      </c>
      <c r="H41" s="422"/>
      <c r="I41" s="407">
        <f>H41*C41</f>
        <v>0</v>
      </c>
      <c r="J41" s="408">
        <f>1-H41-F41-D41</f>
        <v>0</v>
      </c>
      <c r="K41" s="409">
        <f>J41*C41</f>
        <v>0</v>
      </c>
    </row>
    <row r="42" spans="1:11" ht="15" customHeight="1">
      <c r="A42" s="193"/>
      <c r="B42" s="210" t="s">
        <v>469</v>
      </c>
      <c r="C42" s="407">
        <f>Tesorería!D19</f>
        <v>0</v>
      </c>
      <c r="D42" s="421">
        <v>1</v>
      </c>
      <c r="E42" s="407">
        <f t="shared" si="11"/>
        <v>0</v>
      </c>
      <c r="F42" s="422"/>
      <c r="G42" s="407">
        <f>F42*C42</f>
        <v>0</v>
      </c>
      <c r="H42" s="422"/>
      <c r="I42" s="407">
        <f>H42*C42</f>
        <v>0</v>
      </c>
      <c r="J42" s="408">
        <f>1-H42-F42-D42</f>
        <v>0</v>
      </c>
      <c r="K42" s="409">
        <f>J42*C42</f>
        <v>0</v>
      </c>
    </row>
    <row r="43" spans="1:11" ht="15" customHeight="1">
      <c r="A43" s="193"/>
      <c r="B43" s="210" t="s">
        <v>322</v>
      </c>
      <c r="C43" s="407">
        <f>Tesorería!D20</f>
        <v>0</v>
      </c>
      <c r="D43" s="421">
        <v>1</v>
      </c>
      <c r="E43" s="407">
        <f t="shared" si="11"/>
        <v>0</v>
      </c>
      <c r="F43" s="422"/>
      <c r="G43" s="407">
        <f>F43*C43</f>
        <v>0</v>
      </c>
      <c r="H43" s="422"/>
      <c r="I43" s="407">
        <f>H43*C43</f>
        <v>0</v>
      </c>
      <c r="J43" s="408">
        <f>1-H43-F43-D43</f>
        <v>0</v>
      </c>
      <c r="K43" s="409">
        <f>J43*C43</f>
        <v>0</v>
      </c>
    </row>
    <row r="44" spans="1:11" ht="15" customHeight="1">
      <c r="A44" s="193"/>
      <c r="B44" s="210" t="s">
        <v>91</v>
      </c>
      <c r="C44" s="407">
        <f>Tesorería!D21</f>
        <v>0</v>
      </c>
      <c r="D44" s="410">
        <v>1</v>
      </c>
      <c r="E44" s="407">
        <f t="shared" si="11"/>
        <v>0</v>
      </c>
      <c r="F44" s="408"/>
      <c r="G44" s="407"/>
      <c r="H44" s="408"/>
      <c r="I44" s="407"/>
      <c r="J44" s="408"/>
      <c r="K44" s="409"/>
    </row>
    <row r="45" spans="1:11" ht="15" customHeight="1">
      <c r="A45" s="193"/>
      <c r="B45" s="210" t="s">
        <v>92</v>
      </c>
      <c r="C45" s="407">
        <f>Tesorería!D22</f>
        <v>0</v>
      </c>
      <c r="D45" s="421"/>
      <c r="E45" s="407">
        <f t="shared" si="11"/>
        <v>0</v>
      </c>
      <c r="F45" s="422">
        <v>1</v>
      </c>
      <c r="G45" s="407">
        <f>F45*C45</f>
        <v>0</v>
      </c>
      <c r="H45" s="422"/>
      <c r="I45" s="407">
        <f>H45*C45</f>
        <v>0</v>
      </c>
      <c r="J45" s="408">
        <f>1-H45-F45-D45</f>
        <v>0</v>
      </c>
      <c r="K45" s="409">
        <f>J45*C45</f>
        <v>0</v>
      </c>
    </row>
    <row r="46" spans="1:11" ht="15" customHeight="1">
      <c r="A46" s="193"/>
      <c r="B46" s="210" t="s">
        <v>327</v>
      </c>
      <c r="C46" s="407">
        <f>Tesorería!D23</f>
        <v>0</v>
      </c>
      <c r="D46" s="410"/>
      <c r="E46" s="407">
        <f>-'Financiación a lp'!C164</f>
        <v>0</v>
      </c>
      <c r="F46" s="408"/>
      <c r="G46" s="407">
        <f>-'Financiación a lp'!C165</f>
        <v>0</v>
      </c>
      <c r="H46" s="408"/>
      <c r="I46" s="407">
        <f>-'Financiación a lp'!C166</f>
        <v>0</v>
      </c>
      <c r="J46" s="408"/>
      <c r="K46" s="409">
        <f>-'Financiación a lp'!C167</f>
        <v>0</v>
      </c>
    </row>
    <row r="47" spans="1:11" ht="15" customHeight="1">
      <c r="A47" s="193"/>
      <c r="B47" s="210" t="s">
        <v>328</v>
      </c>
      <c r="C47" s="407">
        <f>Tesorería!D24</f>
        <v>0</v>
      </c>
      <c r="D47" s="421">
        <v>0.25</v>
      </c>
      <c r="E47" s="416">
        <f>C47*D47</f>
        <v>0</v>
      </c>
      <c r="F47" s="422">
        <v>0.25</v>
      </c>
      <c r="G47" s="407">
        <f>F47*C47</f>
        <v>0</v>
      </c>
      <c r="H47" s="422">
        <v>0.25</v>
      </c>
      <c r="I47" s="407">
        <f>H47*C47</f>
        <v>0</v>
      </c>
      <c r="J47" s="408">
        <f>1-H47-F47-D47</f>
        <v>0.25</v>
      </c>
      <c r="K47" s="409">
        <f>J47*C47</f>
        <v>0</v>
      </c>
    </row>
    <row r="48" spans="1:11" ht="30">
      <c r="A48" s="411"/>
      <c r="B48" s="527" t="s">
        <v>393</v>
      </c>
      <c r="C48" s="407">
        <f>Tesorería!D25</f>
        <v>0</v>
      </c>
      <c r="D48" s="423">
        <v>0.25</v>
      </c>
      <c r="E48" s="413">
        <f>C48*D48</f>
        <v>0</v>
      </c>
      <c r="F48" s="424">
        <v>0.25</v>
      </c>
      <c r="G48" s="413">
        <f>F48*C48</f>
        <v>0</v>
      </c>
      <c r="H48" s="424">
        <v>0.25</v>
      </c>
      <c r="I48" s="413">
        <f>H48*C48</f>
        <v>0</v>
      </c>
      <c r="J48" s="414">
        <f>1-H48-F48-D48</f>
        <v>0.25</v>
      </c>
      <c r="K48" s="415">
        <f>J48*C48</f>
        <v>0</v>
      </c>
    </row>
    <row r="49" spans="1:13" s="355" customFormat="1" ht="22.5" customHeight="1">
      <c r="A49" s="473" t="s">
        <v>93</v>
      </c>
      <c r="B49" s="474"/>
      <c r="C49" s="475">
        <f>C28+C36+C39</f>
        <v>0</v>
      </c>
      <c r="D49" s="476"/>
      <c r="E49" s="475">
        <f>E28+E36+E39</f>
        <v>0</v>
      </c>
      <c r="F49" s="477"/>
      <c r="G49" s="475">
        <f>G28+G36+G39</f>
        <v>0</v>
      </c>
      <c r="H49" s="477"/>
      <c r="I49" s="475">
        <f>I28+I36+I39</f>
        <v>0</v>
      </c>
      <c r="J49" s="477"/>
      <c r="K49" s="478">
        <f>K28+K36+K39</f>
        <v>0</v>
      </c>
    </row>
    <row r="50" spans="1:13" ht="15" customHeight="1">
      <c r="A50" s="411"/>
      <c r="B50" s="412" t="s">
        <v>94</v>
      </c>
      <c r="C50" s="407">
        <f>C26</f>
        <v>0</v>
      </c>
      <c r="D50" s="410"/>
      <c r="E50" s="407">
        <f>C50</f>
        <v>0</v>
      </c>
      <c r="F50" s="408"/>
      <c r="G50" s="407">
        <f>E51</f>
        <v>0</v>
      </c>
      <c r="H50" s="408"/>
      <c r="I50" s="407">
        <f>G51</f>
        <v>0</v>
      </c>
      <c r="J50" s="408"/>
      <c r="K50" s="409">
        <f>I51</f>
        <v>0</v>
      </c>
    </row>
    <row r="51" spans="1:13" s="355" customFormat="1" ht="22.5" customHeight="1" thickBot="1">
      <c r="A51" s="1087" t="s">
        <v>95</v>
      </c>
      <c r="B51" s="1088"/>
      <c r="C51" s="417">
        <f>SUM(C49:C50)</f>
        <v>0</v>
      </c>
      <c r="D51" s="418"/>
      <c r="E51" s="417">
        <f>SUM(E49:E50)</f>
        <v>0</v>
      </c>
      <c r="F51" s="418"/>
      <c r="G51" s="417">
        <f>SUM(G49:G50)</f>
        <v>0</v>
      </c>
      <c r="H51" s="418"/>
      <c r="I51" s="417">
        <f>SUM(I49:I50)</f>
        <v>0</v>
      </c>
      <c r="J51" s="418"/>
      <c r="K51" s="419">
        <f>SUM(K49:K50)</f>
        <v>0</v>
      </c>
      <c r="M51" s="355">
        <f>C51-'Presupuesto de capital'!F26</f>
        <v>0</v>
      </c>
    </row>
    <row r="52" spans="1:13" s="7" customFormat="1" ht="33" customHeight="1" thickBot="1">
      <c r="A52" s="1085" t="s">
        <v>97</v>
      </c>
      <c r="B52" s="1086"/>
      <c r="C52" s="406" t="s">
        <v>285</v>
      </c>
      <c r="D52" s="1089" t="s">
        <v>75</v>
      </c>
      <c r="E52" s="1091"/>
      <c r="F52" s="1089" t="s">
        <v>76</v>
      </c>
      <c r="G52" s="1091"/>
      <c r="H52" s="1089" t="s">
        <v>77</v>
      </c>
      <c r="I52" s="1091"/>
      <c r="J52" s="1089" t="s">
        <v>78</v>
      </c>
      <c r="K52" s="1090"/>
    </row>
    <row r="53" spans="1:13" ht="22.5" customHeight="1">
      <c r="A53" s="467" t="s">
        <v>79</v>
      </c>
      <c r="B53" s="468"/>
      <c r="C53" s="469">
        <f>SUM(C54:C60)</f>
        <v>0</v>
      </c>
      <c r="D53" s="470"/>
      <c r="E53" s="469">
        <f>SUM(E54:E60)</f>
        <v>0</v>
      </c>
      <c r="F53" s="471"/>
      <c r="G53" s="469">
        <f>SUM(G54:G60)</f>
        <v>0</v>
      </c>
      <c r="H53" s="471"/>
      <c r="I53" s="469">
        <f>SUM(I54:I60)</f>
        <v>0</v>
      </c>
      <c r="J53" s="471"/>
      <c r="K53" s="472">
        <f>SUM(K54:K60)</f>
        <v>0</v>
      </c>
    </row>
    <row r="54" spans="1:13">
      <c r="A54" s="193"/>
      <c r="B54" s="210" t="s">
        <v>80</v>
      </c>
      <c r="C54" s="407">
        <f>Tesorería!E5</f>
        <v>0</v>
      </c>
      <c r="D54" s="421">
        <v>0.25</v>
      </c>
      <c r="E54" s="407">
        <f t="shared" ref="E54:E59" si="12">C54*D54</f>
        <v>0</v>
      </c>
      <c r="F54" s="422">
        <v>0.25</v>
      </c>
      <c r="G54" s="407">
        <f t="shared" ref="G54:G59" si="13">F54*C54</f>
        <v>0</v>
      </c>
      <c r="H54" s="422">
        <v>0.25</v>
      </c>
      <c r="I54" s="407">
        <f t="shared" ref="I54:I59" si="14">H54*C54</f>
        <v>0</v>
      </c>
      <c r="J54" s="408">
        <f t="shared" ref="J54:J59" si="15">1-H54-F54-D54</f>
        <v>0.25</v>
      </c>
      <c r="K54" s="409">
        <f t="shared" ref="K54:K59" si="16">J54*C54</f>
        <v>0</v>
      </c>
    </row>
    <row r="55" spans="1:13">
      <c r="A55" s="193"/>
      <c r="B55" s="210" t="s">
        <v>81</v>
      </c>
      <c r="C55" s="407">
        <f>Tesorería!E6</f>
        <v>0</v>
      </c>
      <c r="D55" s="421">
        <v>0.25</v>
      </c>
      <c r="E55" s="407">
        <f t="shared" si="12"/>
        <v>0</v>
      </c>
      <c r="F55" s="422">
        <v>0.25</v>
      </c>
      <c r="G55" s="407">
        <f t="shared" si="13"/>
        <v>0</v>
      </c>
      <c r="H55" s="422">
        <v>0.25</v>
      </c>
      <c r="I55" s="407">
        <f t="shared" si="14"/>
        <v>0</v>
      </c>
      <c r="J55" s="408">
        <f t="shared" si="15"/>
        <v>0.25</v>
      </c>
      <c r="K55" s="409">
        <f t="shared" si="16"/>
        <v>0</v>
      </c>
    </row>
    <row r="56" spans="1:13">
      <c r="A56" s="193"/>
      <c r="B56" s="210" t="s">
        <v>82</v>
      </c>
      <c r="C56" s="407">
        <f>Tesorería!E7</f>
        <v>0</v>
      </c>
      <c r="D56" s="421">
        <v>0.25</v>
      </c>
      <c r="E56" s="407">
        <f t="shared" si="12"/>
        <v>0</v>
      </c>
      <c r="F56" s="422">
        <v>0.25</v>
      </c>
      <c r="G56" s="407">
        <f t="shared" si="13"/>
        <v>0</v>
      </c>
      <c r="H56" s="422">
        <v>0.25</v>
      </c>
      <c r="I56" s="407">
        <f t="shared" si="14"/>
        <v>0</v>
      </c>
      <c r="J56" s="408">
        <f t="shared" si="15"/>
        <v>0.25</v>
      </c>
      <c r="K56" s="409">
        <f t="shared" si="16"/>
        <v>0</v>
      </c>
    </row>
    <row r="57" spans="1:13">
      <c r="A57" s="193"/>
      <c r="B57" s="210" t="s">
        <v>83</v>
      </c>
      <c r="C57" s="407">
        <f>Tesorería!E9</f>
        <v>0</v>
      </c>
      <c r="D57" s="421">
        <v>0.25</v>
      </c>
      <c r="E57" s="407">
        <f t="shared" si="12"/>
        <v>0</v>
      </c>
      <c r="F57" s="422">
        <v>0.25</v>
      </c>
      <c r="G57" s="407">
        <f t="shared" si="13"/>
        <v>0</v>
      </c>
      <c r="H57" s="422">
        <v>0.25</v>
      </c>
      <c r="I57" s="407">
        <f t="shared" si="14"/>
        <v>0</v>
      </c>
      <c r="J57" s="408">
        <f t="shared" si="15"/>
        <v>0.25</v>
      </c>
      <c r="K57" s="409">
        <f t="shared" si="16"/>
        <v>0</v>
      </c>
    </row>
    <row r="58" spans="1:13">
      <c r="A58" s="193"/>
      <c r="B58" s="210" t="s">
        <v>84</v>
      </c>
      <c r="C58" s="407">
        <f>Tesorería!E10</f>
        <v>0</v>
      </c>
      <c r="D58" s="421">
        <v>0.25</v>
      </c>
      <c r="E58" s="407">
        <f t="shared" si="12"/>
        <v>0</v>
      </c>
      <c r="F58" s="422">
        <v>0.25</v>
      </c>
      <c r="G58" s="407">
        <f t="shared" si="13"/>
        <v>0</v>
      </c>
      <c r="H58" s="422">
        <v>0.25</v>
      </c>
      <c r="I58" s="407">
        <f t="shared" si="14"/>
        <v>0</v>
      </c>
      <c r="J58" s="408">
        <f t="shared" si="15"/>
        <v>0.25</v>
      </c>
      <c r="K58" s="409">
        <f t="shared" si="16"/>
        <v>0</v>
      </c>
    </row>
    <row r="59" spans="1:13">
      <c r="A59" s="193"/>
      <c r="B59" s="210" t="s">
        <v>131</v>
      </c>
      <c r="C59" s="407">
        <f>Tesorería!E11</f>
        <v>0</v>
      </c>
      <c r="D59" s="421"/>
      <c r="E59" s="407">
        <f t="shared" si="12"/>
        <v>0</v>
      </c>
      <c r="F59" s="422"/>
      <c r="G59" s="407">
        <f t="shared" si="13"/>
        <v>0</v>
      </c>
      <c r="H59" s="422">
        <v>1</v>
      </c>
      <c r="I59" s="407">
        <f t="shared" si="14"/>
        <v>0</v>
      </c>
      <c r="J59" s="408">
        <f t="shared" si="15"/>
        <v>0</v>
      </c>
      <c r="K59" s="409">
        <f t="shared" si="16"/>
        <v>0</v>
      </c>
    </row>
    <row r="60" spans="1:13">
      <c r="A60" s="193"/>
      <c r="B60" s="210" t="s">
        <v>85</v>
      </c>
      <c r="C60" s="407">
        <f>Tesorería!E12</f>
        <v>0</v>
      </c>
      <c r="D60" s="410"/>
      <c r="E60" s="407">
        <f>-'Financiación a lp'!B169</f>
        <v>0</v>
      </c>
      <c r="F60" s="408"/>
      <c r="G60" s="407">
        <f>-'Financiación a lp'!B170</f>
        <v>0</v>
      </c>
      <c r="H60" s="408"/>
      <c r="I60" s="407">
        <f>-'Financiación a lp'!B171</f>
        <v>0</v>
      </c>
      <c r="J60" s="408"/>
      <c r="K60" s="409">
        <f>-'Financiación a lp'!B172</f>
        <v>0</v>
      </c>
    </row>
    <row r="61" spans="1:13" ht="22.5" customHeight="1">
      <c r="A61" s="473" t="s">
        <v>86</v>
      </c>
      <c r="B61" s="474"/>
      <c r="C61" s="475">
        <f>SUM(C62:C63)</f>
        <v>0</v>
      </c>
      <c r="D61" s="476"/>
      <c r="E61" s="475">
        <f>SUM(E62:E63)</f>
        <v>0</v>
      </c>
      <c r="F61" s="477"/>
      <c r="G61" s="475">
        <f>SUM(G62:G63)</f>
        <v>0</v>
      </c>
      <c r="H61" s="477"/>
      <c r="I61" s="475">
        <f>SUM(I62:I63)</f>
        <v>0</v>
      </c>
      <c r="J61" s="477"/>
      <c r="K61" s="478">
        <f>SUM(K62:K63)</f>
        <v>0</v>
      </c>
    </row>
    <row r="62" spans="1:13" ht="20.25" customHeight="1">
      <c r="A62" s="193"/>
      <c r="B62" s="210" t="s">
        <v>87</v>
      </c>
      <c r="C62" s="407">
        <f>Tesorería!E14</f>
        <v>0</v>
      </c>
      <c r="D62" s="421"/>
      <c r="E62" s="407">
        <f>C62*D62</f>
        <v>0</v>
      </c>
      <c r="F62" s="422"/>
      <c r="G62" s="407">
        <f>F62*C62</f>
        <v>0</v>
      </c>
      <c r="H62" s="422"/>
      <c r="I62" s="407">
        <f>H62*C62</f>
        <v>0</v>
      </c>
      <c r="J62" s="408">
        <f>1-H62-F62-D62</f>
        <v>1</v>
      </c>
      <c r="K62" s="409">
        <f>J62*C62</f>
        <v>0</v>
      </c>
    </row>
    <row r="63" spans="1:13">
      <c r="A63" s="411"/>
      <c r="B63" s="412" t="s">
        <v>88</v>
      </c>
      <c r="C63" s="407">
        <f>Tesorería!E15</f>
        <v>0</v>
      </c>
      <c r="D63" s="423">
        <v>1</v>
      </c>
      <c r="E63" s="413">
        <f>C63*D63</f>
        <v>0</v>
      </c>
      <c r="F63" s="424"/>
      <c r="G63" s="413">
        <f>F63*C63</f>
        <v>0</v>
      </c>
      <c r="H63" s="424"/>
      <c r="I63" s="413">
        <f>H63*C63</f>
        <v>0</v>
      </c>
      <c r="J63" s="414">
        <f>1-H63-F63-D63</f>
        <v>0</v>
      </c>
      <c r="K63" s="415">
        <f>J63*C63</f>
        <v>0</v>
      </c>
    </row>
    <row r="64" spans="1:13" ht="22.5" customHeight="1">
      <c r="A64" s="473" t="s">
        <v>89</v>
      </c>
      <c r="B64" s="474"/>
      <c r="C64" s="475">
        <f>SUM(C65:C73)</f>
        <v>0</v>
      </c>
      <c r="D64" s="476"/>
      <c r="E64" s="475">
        <f>SUM(E65:E73)</f>
        <v>0</v>
      </c>
      <c r="F64" s="477"/>
      <c r="G64" s="475">
        <f>SUM(G65:G73)</f>
        <v>0</v>
      </c>
      <c r="H64" s="477"/>
      <c r="I64" s="475">
        <f>SUM(I65:I73)</f>
        <v>0</v>
      </c>
      <c r="J64" s="477"/>
      <c r="K64" s="478">
        <f>SUM(K65:K73)</f>
        <v>0</v>
      </c>
    </row>
    <row r="65" spans="1:13" ht="15.75" customHeight="1">
      <c r="A65" s="193"/>
      <c r="B65" s="210" t="s">
        <v>90</v>
      </c>
      <c r="C65" s="407">
        <f>Tesorería!E17</f>
        <v>0</v>
      </c>
      <c r="D65" s="421">
        <v>1</v>
      </c>
      <c r="E65" s="407">
        <f t="shared" ref="E65:E70" si="17">C65*D65</f>
        <v>0</v>
      </c>
      <c r="F65" s="422"/>
      <c r="G65" s="407">
        <f>F65*C65</f>
        <v>0</v>
      </c>
      <c r="H65" s="422"/>
      <c r="I65" s="407">
        <f>H65*C65</f>
        <v>0</v>
      </c>
      <c r="J65" s="408">
        <f>1-H65-F65-D65</f>
        <v>0</v>
      </c>
      <c r="K65" s="409">
        <f>J65*C65</f>
        <v>0</v>
      </c>
    </row>
    <row r="66" spans="1:13" ht="15.75" customHeight="1">
      <c r="A66" s="193"/>
      <c r="B66" s="210" t="s">
        <v>264</v>
      </c>
      <c r="C66" s="407">
        <f>Tesorería!E18</f>
        <v>0</v>
      </c>
      <c r="D66" s="421">
        <v>1</v>
      </c>
      <c r="E66" s="407">
        <f t="shared" si="17"/>
        <v>0</v>
      </c>
      <c r="F66" s="422"/>
      <c r="G66" s="407">
        <f>F66*C66</f>
        <v>0</v>
      </c>
      <c r="H66" s="422"/>
      <c r="I66" s="407">
        <f>H66*C66</f>
        <v>0</v>
      </c>
      <c r="J66" s="408">
        <f>1-H66-F66-D66</f>
        <v>0</v>
      </c>
      <c r="K66" s="409">
        <f>J66*C66</f>
        <v>0</v>
      </c>
    </row>
    <row r="67" spans="1:13" ht="15.75" customHeight="1">
      <c r="A67" s="193"/>
      <c r="B67" s="210" t="s">
        <v>469</v>
      </c>
      <c r="C67" s="407">
        <f>Tesorería!E19</f>
        <v>0</v>
      </c>
      <c r="D67" s="421">
        <v>1</v>
      </c>
      <c r="E67" s="407">
        <f t="shared" si="17"/>
        <v>0</v>
      </c>
      <c r="F67" s="422"/>
      <c r="G67" s="407">
        <f>F67*C67</f>
        <v>0</v>
      </c>
      <c r="H67" s="422"/>
      <c r="I67" s="407">
        <f>H67*C67</f>
        <v>0</v>
      </c>
      <c r="J67" s="408">
        <f>1-H67-F67-D67</f>
        <v>0</v>
      </c>
      <c r="K67" s="409">
        <f>J67*C67</f>
        <v>0</v>
      </c>
    </row>
    <row r="68" spans="1:13" ht="15.75" customHeight="1">
      <c r="A68" s="193"/>
      <c r="B68" s="210" t="s">
        <v>322</v>
      </c>
      <c r="C68" s="407">
        <f>Tesorería!E20</f>
        <v>0</v>
      </c>
      <c r="D68" s="421">
        <v>1</v>
      </c>
      <c r="E68" s="407">
        <f t="shared" si="17"/>
        <v>0</v>
      </c>
      <c r="F68" s="422"/>
      <c r="G68" s="407">
        <f>F68*C68</f>
        <v>0</v>
      </c>
      <c r="H68" s="422"/>
      <c r="I68" s="407">
        <f>H68*C68</f>
        <v>0</v>
      </c>
      <c r="J68" s="408">
        <f>1-H68-F68-D68</f>
        <v>0</v>
      </c>
      <c r="K68" s="409">
        <f>J68*C68</f>
        <v>0</v>
      </c>
    </row>
    <row r="69" spans="1:13">
      <c r="A69" s="193"/>
      <c r="B69" s="210" t="s">
        <v>91</v>
      </c>
      <c r="C69" s="407">
        <f>Tesorería!E21</f>
        <v>0</v>
      </c>
      <c r="D69" s="410">
        <v>1</v>
      </c>
      <c r="E69" s="407">
        <f t="shared" si="17"/>
        <v>0</v>
      </c>
      <c r="F69" s="408"/>
      <c r="G69" s="407"/>
      <c r="H69" s="408"/>
      <c r="I69" s="407"/>
      <c r="J69" s="408"/>
      <c r="K69" s="409"/>
    </row>
    <row r="70" spans="1:13">
      <c r="A70" s="193"/>
      <c r="B70" s="210" t="s">
        <v>92</v>
      </c>
      <c r="C70" s="407">
        <f>Tesorería!E22</f>
        <v>0</v>
      </c>
      <c r="D70" s="421"/>
      <c r="E70" s="407">
        <f t="shared" si="17"/>
        <v>0</v>
      </c>
      <c r="F70" s="422">
        <v>1</v>
      </c>
      <c r="G70" s="407">
        <f>F70*C70</f>
        <v>0</v>
      </c>
      <c r="H70" s="422"/>
      <c r="I70" s="407">
        <f>H70*C70</f>
        <v>0</v>
      </c>
      <c r="J70" s="408">
        <f>1-H70-F70-D70</f>
        <v>0</v>
      </c>
      <c r="K70" s="409">
        <f>J70*C70</f>
        <v>0</v>
      </c>
    </row>
    <row r="71" spans="1:13">
      <c r="A71" s="193"/>
      <c r="B71" s="210" t="s">
        <v>327</v>
      </c>
      <c r="C71" s="407">
        <f>Tesorería!E23</f>
        <v>0</v>
      </c>
      <c r="D71" s="410"/>
      <c r="E71" s="407">
        <f>-'Financiación a lp'!C169</f>
        <v>0</v>
      </c>
      <c r="F71" s="408"/>
      <c r="G71" s="407">
        <f>-'Financiación a lp'!C170</f>
        <v>0</v>
      </c>
      <c r="H71" s="408"/>
      <c r="I71" s="407">
        <f>-'Financiación a lp'!C171</f>
        <v>0</v>
      </c>
      <c r="J71" s="408"/>
      <c r="K71" s="409">
        <f>-'Financiación a lp'!C172</f>
        <v>0</v>
      </c>
    </row>
    <row r="72" spans="1:13">
      <c r="A72" s="193"/>
      <c r="B72" s="210" t="s">
        <v>328</v>
      </c>
      <c r="C72" s="407">
        <f>Tesorería!E24</f>
        <v>0</v>
      </c>
      <c r="D72" s="421">
        <v>0.25</v>
      </c>
      <c r="E72" s="416">
        <f>C72*D72</f>
        <v>0</v>
      </c>
      <c r="F72" s="422">
        <v>0.25</v>
      </c>
      <c r="G72" s="407">
        <f>F72*C72</f>
        <v>0</v>
      </c>
      <c r="H72" s="422">
        <v>0.25</v>
      </c>
      <c r="I72" s="407">
        <f>H72*C72</f>
        <v>0</v>
      </c>
      <c r="J72" s="408">
        <f>1-H72-F72-D72</f>
        <v>0.25</v>
      </c>
      <c r="K72" s="409">
        <f>J72*C72</f>
        <v>0</v>
      </c>
    </row>
    <row r="73" spans="1:13" ht="30">
      <c r="A73" s="411"/>
      <c r="B73" s="527" t="s">
        <v>393</v>
      </c>
      <c r="C73" s="407">
        <f>Tesorería!E25</f>
        <v>0</v>
      </c>
      <c r="D73" s="423">
        <v>0.25</v>
      </c>
      <c r="E73" s="413">
        <f>C73*D73</f>
        <v>0</v>
      </c>
      <c r="F73" s="424">
        <v>0.25</v>
      </c>
      <c r="G73" s="413">
        <f>F73*C73</f>
        <v>0</v>
      </c>
      <c r="H73" s="424">
        <v>0.25</v>
      </c>
      <c r="I73" s="413">
        <f>H73*C73</f>
        <v>0</v>
      </c>
      <c r="J73" s="414">
        <f>1-H73-F73-D73</f>
        <v>0.25</v>
      </c>
      <c r="K73" s="415">
        <f>J73*C73</f>
        <v>0</v>
      </c>
    </row>
    <row r="74" spans="1:13" s="355" customFormat="1" ht="22.5" customHeight="1">
      <c r="A74" s="473" t="s">
        <v>93</v>
      </c>
      <c r="B74" s="474"/>
      <c r="C74" s="475">
        <f>C53+C61+C64</f>
        <v>0</v>
      </c>
      <c r="D74" s="476"/>
      <c r="E74" s="475">
        <f>E53+E61+E64</f>
        <v>0</v>
      </c>
      <c r="F74" s="477"/>
      <c r="G74" s="475">
        <f>G53+G61+G64</f>
        <v>0</v>
      </c>
      <c r="H74" s="477"/>
      <c r="I74" s="475">
        <f>I53+I61+I64</f>
        <v>0</v>
      </c>
      <c r="J74" s="477"/>
      <c r="K74" s="478">
        <f>K53+K61+K64</f>
        <v>0</v>
      </c>
    </row>
    <row r="75" spans="1:13" ht="18.75" customHeight="1">
      <c r="A75" s="411"/>
      <c r="B75" s="412" t="s">
        <v>94</v>
      </c>
      <c r="C75" s="407">
        <f>C51</f>
        <v>0</v>
      </c>
      <c r="D75" s="410"/>
      <c r="E75" s="407">
        <f>C75</f>
        <v>0</v>
      </c>
      <c r="F75" s="408"/>
      <c r="G75" s="407">
        <f>E76</f>
        <v>0</v>
      </c>
      <c r="H75" s="408"/>
      <c r="I75" s="407">
        <f>G76</f>
        <v>0</v>
      </c>
      <c r="J75" s="408"/>
      <c r="K75" s="409">
        <f>I76</f>
        <v>0</v>
      </c>
    </row>
    <row r="76" spans="1:13" s="355" customFormat="1" ht="22.5" customHeight="1" thickBot="1">
      <c r="A76" s="1087" t="s">
        <v>95</v>
      </c>
      <c r="B76" s="1088"/>
      <c r="C76" s="417">
        <f>SUM(C74:C75)</f>
        <v>0</v>
      </c>
      <c r="D76" s="418"/>
      <c r="E76" s="417">
        <f>SUM(E74:E75)</f>
        <v>0</v>
      </c>
      <c r="F76" s="418"/>
      <c r="G76" s="417">
        <f>SUM(G74:G75)</f>
        <v>0</v>
      </c>
      <c r="H76" s="418"/>
      <c r="I76" s="417">
        <f>SUM(I74:I75)</f>
        <v>0</v>
      </c>
      <c r="J76" s="418"/>
      <c r="K76" s="419">
        <f>SUM(K74:K75)</f>
        <v>0</v>
      </c>
      <c r="M76" s="355">
        <f>C76-'Presupuesto de capital'!G26</f>
        <v>0</v>
      </c>
    </row>
    <row r="77" spans="1:13" ht="33" customHeight="1" thickBot="1">
      <c r="A77" s="1085" t="s">
        <v>325</v>
      </c>
      <c r="B77" s="1086"/>
      <c r="C77" s="406" t="s">
        <v>285</v>
      </c>
      <c r="D77" s="1089" t="s">
        <v>75</v>
      </c>
      <c r="E77" s="1091"/>
      <c r="F77" s="1089" t="s">
        <v>76</v>
      </c>
      <c r="G77" s="1091"/>
      <c r="H77" s="1089" t="s">
        <v>77</v>
      </c>
      <c r="I77" s="1091"/>
      <c r="J77" s="1089" t="s">
        <v>78</v>
      </c>
      <c r="K77" s="1090"/>
    </row>
    <row r="78" spans="1:13" ht="22.5" customHeight="1">
      <c r="A78" s="467" t="s">
        <v>79</v>
      </c>
      <c r="B78" s="468"/>
      <c r="C78" s="469">
        <f>SUM(C79:C85)</f>
        <v>0</v>
      </c>
      <c r="D78" s="470"/>
      <c r="E78" s="469">
        <f>SUM(E79:E85)</f>
        <v>0</v>
      </c>
      <c r="F78" s="471"/>
      <c r="G78" s="469">
        <f>SUM(G79:G85)</f>
        <v>0</v>
      </c>
      <c r="H78" s="471"/>
      <c r="I78" s="469">
        <f>SUM(I79:I85)</f>
        <v>0</v>
      </c>
      <c r="J78" s="471"/>
      <c r="K78" s="472">
        <f>SUM(K79:K85)</f>
        <v>0</v>
      </c>
    </row>
    <row r="79" spans="1:13">
      <c r="A79" s="193"/>
      <c r="B79" s="210" t="s">
        <v>80</v>
      </c>
      <c r="C79" s="407">
        <f>Tesorería!F5</f>
        <v>0</v>
      </c>
      <c r="D79" s="421">
        <v>0.25</v>
      </c>
      <c r="E79" s="407">
        <f t="shared" ref="E79:E84" si="18">C79*D79</f>
        <v>0</v>
      </c>
      <c r="F79" s="422">
        <v>0.25</v>
      </c>
      <c r="G79" s="407">
        <f t="shared" ref="G79:G84" si="19">F79*C79</f>
        <v>0</v>
      </c>
      <c r="H79" s="422">
        <v>0.25</v>
      </c>
      <c r="I79" s="407">
        <f t="shared" ref="I79:I84" si="20">H79*C79</f>
        <v>0</v>
      </c>
      <c r="J79" s="408">
        <f t="shared" ref="J79:J84" si="21">1-H79-F79-D79</f>
        <v>0.25</v>
      </c>
      <c r="K79" s="409">
        <f t="shared" ref="K79:K84" si="22">J79*C79</f>
        <v>0</v>
      </c>
    </row>
    <row r="80" spans="1:13">
      <c r="A80" s="193"/>
      <c r="B80" s="210" t="s">
        <v>81</v>
      </c>
      <c r="C80" s="407">
        <f>Tesorería!F6</f>
        <v>0</v>
      </c>
      <c r="D80" s="421">
        <v>0.25</v>
      </c>
      <c r="E80" s="407">
        <f t="shared" si="18"/>
        <v>0</v>
      </c>
      <c r="F80" s="422">
        <v>0.25</v>
      </c>
      <c r="G80" s="407">
        <f t="shared" si="19"/>
        <v>0</v>
      </c>
      <c r="H80" s="422">
        <v>0.25</v>
      </c>
      <c r="I80" s="407">
        <f t="shared" si="20"/>
        <v>0</v>
      </c>
      <c r="J80" s="408">
        <f t="shared" si="21"/>
        <v>0.25</v>
      </c>
      <c r="K80" s="409">
        <f t="shared" si="22"/>
        <v>0</v>
      </c>
    </row>
    <row r="81" spans="1:11">
      <c r="A81" s="193"/>
      <c r="B81" s="210" t="s">
        <v>82</v>
      </c>
      <c r="C81" s="407">
        <f>Tesorería!F7</f>
        <v>0</v>
      </c>
      <c r="D81" s="421">
        <v>0.25</v>
      </c>
      <c r="E81" s="407">
        <f t="shared" si="18"/>
        <v>0</v>
      </c>
      <c r="F81" s="422">
        <v>0.25</v>
      </c>
      <c r="G81" s="407">
        <f t="shared" si="19"/>
        <v>0</v>
      </c>
      <c r="H81" s="422">
        <v>0.25</v>
      </c>
      <c r="I81" s="407">
        <f t="shared" si="20"/>
        <v>0</v>
      </c>
      <c r="J81" s="408">
        <f t="shared" si="21"/>
        <v>0.25</v>
      </c>
      <c r="K81" s="409">
        <f t="shared" si="22"/>
        <v>0</v>
      </c>
    </row>
    <row r="82" spans="1:11">
      <c r="A82" s="193"/>
      <c r="B82" s="210" t="s">
        <v>83</v>
      </c>
      <c r="C82" s="407">
        <f>Tesorería!F9</f>
        <v>0</v>
      </c>
      <c r="D82" s="421">
        <v>0.25</v>
      </c>
      <c r="E82" s="407">
        <f t="shared" si="18"/>
        <v>0</v>
      </c>
      <c r="F82" s="422">
        <v>0.25</v>
      </c>
      <c r="G82" s="407">
        <f t="shared" si="19"/>
        <v>0</v>
      </c>
      <c r="H82" s="422">
        <v>0.25</v>
      </c>
      <c r="I82" s="407">
        <f t="shared" si="20"/>
        <v>0</v>
      </c>
      <c r="J82" s="408">
        <f t="shared" si="21"/>
        <v>0.25</v>
      </c>
      <c r="K82" s="409">
        <f t="shared" si="22"/>
        <v>0</v>
      </c>
    </row>
    <row r="83" spans="1:11">
      <c r="A83" s="193"/>
      <c r="B83" s="210" t="s">
        <v>84</v>
      </c>
      <c r="C83" s="407">
        <f>Tesorería!F10</f>
        <v>0</v>
      </c>
      <c r="D83" s="421">
        <v>0.25</v>
      </c>
      <c r="E83" s="407">
        <f t="shared" si="18"/>
        <v>0</v>
      </c>
      <c r="F83" s="422">
        <v>0.25</v>
      </c>
      <c r="G83" s="407">
        <f t="shared" si="19"/>
        <v>0</v>
      </c>
      <c r="H83" s="422">
        <v>0.25</v>
      </c>
      <c r="I83" s="407">
        <f t="shared" si="20"/>
        <v>0</v>
      </c>
      <c r="J83" s="408">
        <f t="shared" si="21"/>
        <v>0.25</v>
      </c>
      <c r="K83" s="409">
        <f t="shared" si="22"/>
        <v>0</v>
      </c>
    </row>
    <row r="84" spans="1:11">
      <c r="A84" s="193"/>
      <c r="B84" s="210" t="s">
        <v>131</v>
      </c>
      <c r="C84" s="407">
        <f>Tesorería!F11</f>
        <v>0</v>
      </c>
      <c r="D84" s="421"/>
      <c r="E84" s="407">
        <f t="shared" si="18"/>
        <v>0</v>
      </c>
      <c r="F84" s="422"/>
      <c r="G84" s="407">
        <f t="shared" si="19"/>
        <v>0</v>
      </c>
      <c r="H84" s="422">
        <v>1</v>
      </c>
      <c r="I84" s="407">
        <f t="shared" si="20"/>
        <v>0</v>
      </c>
      <c r="J84" s="408">
        <f t="shared" si="21"/>
        <v>0</v>
      </c>
      <c r="K84" s="409">
        <f t="shared" si="22"/>
        <v>0</v>
      </c>
    </row>
    <row r="85" spans="1:11">
      <c r="A85" s="193"/>
      <c r="B85" s="210" t="s">
        <v>85</v>
      </c>
      <c r="C85" s="407">
        <f>Tesorería!F12</f>
        <v>0</v>
      </c>
      <c r="D85" s="410"/>
      <c r="E85" s="407">
        <f>-'Financiación a lp'!B174</f>
        <v>0</v>
      </c>
      <c r="F85" s="408"/>
      <c r="G85" s="407">
        <f>-'Financiación a lp'!B175</f>
        <v>0</v>
      </c>
      <c r="H85" s="408"/>
      <c r="I85" s="407">
        <f>-'Financiación a lp'!B176</f>
        <v>0</v>
      </c>
      <c r="J85" s="408"/>
      <c r="K85" s="409">
        <f>-'Financiación a lp'!B177</f>
        <v>0</v>
      </c>
    </row>
    <row r="86" spans="1:11" ht="22.5" customHeight="1">
      <c r="A86" s="473" t="s">
        <v>86</v>
      </c>
      <c r="B86" s="474"/>
      <c r="C86" s="475">
        <f>SUM(C87:C88)</f>
        <v>0</v>
      </c>
      <c r="D86" s="476"/>
      <c r="E86" s="475">
        <f>SUM(E87:E88)</f>
        <v>0</v>
      </c>
      <c r="F86" s="477"/>
      <c r="G86" s="475">
        <f>SUM(G87:G88)</f>
        <v>0</v>
      </c>
      <c r="H86" s="477"/>
      <c r="I86" s="475">
        <f>SUM(I87:I88)</f>
        <v>0</v>
      </c>
      <c r="J86" s="477"/>
      <c r="K86" s="478">
        <f>SUM(K87:K88)</f>
        <v>0</v>
      </c>
    </row>
    <row r="87" spans="1:11">
      <c r="A87" s="193"/>
      <c r="B87" s="210" t="s">
        <v>87</v>
      </c>
      <c r="C87" s="407">
        <f>Tesorería!F14</f>
        <v>0</v>
      </c>
      <c r="D87" s="421"/>
      <c r="E87" s="407">
        <f>C87*D87</f>
        <v>0</v>
      </c>
      <c r="F87" s="422"/>
      <c r="G87" s="407">
        <f>F87*C87</f>
        <v>0</v>
      </c>
      <c r="H87" s="422"/>
      <c r="I87" s="407">
        <f>H87*C87</f>
        <v>0</v>
      </c>
      <c r="J87" s="408">
        <f>1-H87-F87-D87</f>
        <v>1</v>
      </c>
      <c r="K87" s="409">
        <f>J87*C87</f>
        <v>0</v>
      </c>
    </row>
    <row r="88" spans="1:11">
      <c r="A88" s="411"/>
      <c r="B88" s="412" t="s">
        <v>88</v>
      </c>
      <c r="C88" s="407">
        <f>Tesorería!F15</f>
        <v>0</v>
      </c>
      <c r="D88" s="423">
        <v>1</v>
      </c>
      <c r="E88" s="413">
        <f>C88*D88</f>
        <v>0</v>
      </c>
      <c r="F88" s="424"/>
      <c r="G88" s="413">
        <f>F88*C88</f>
        <v>0</v>
      </c>
      <c r="H88" s="424"/>
      <c r="I88" s="413">
        <f>H88*C88</f>
        <v>0</v>
      </c>
      <c r="J88" s="414">
        <f>1-H88-F88-D88</f>
        <v>0</v>
      </c>
      <c r="K88" s="415">
        <f>J88*C88</f>
        <v>0</v>
      </c>
    </row>
    <row r="89" spans="1:11" ht="22.5" customHeight="1">
      <c r="A89" s="473" t="s">
        <v>89</v>
      </c>
      <c r="B89" s="474"/>
      <c r="C89" s="475">
        <f>SUM(C90:C98)</f>
        <v>0</v>
      </c>
      <c r="D89" s="476"/>
      <c r="E89" s="475">
        <f>SUM(E90:E98)</f>
        <v>0</v>
      </c>
      <c r="F89" s="477"/>
      <c r="G89" s="475">
        <f>SUM(G90:G98)</f>
        <v>0</v>
      </c>
      <c r="H89" s="477"/>
      <c r="I89" s="475">
        <f>SUM(I90:I98)</f>
        <v>0</v>
      </c>
      <c r="J89" s="477"/>
      <c r="K89" s="478">
        <f>SUM(K90:K98)</f>
        <v>0</v>
      </c>
    </row>
    <row r="90" spans="1:11">
      <c r="A90" s="193"/>
      <c r="B90" s="210" t="s">
        <v>90</v>
      </c>
      <c r="C90" s="407">
        <f>Tesorería!F17</f>
        <v>0</v>
      </c>
      <c r="D90" s="421">
        <v>1</v>
      </c>
      <c r="E90" s="407">
        <f t="shared" ref="E90:E95" si="23">C90*D90</f>
        <v>0</v>
      </c>
      <c r="F90" s="422"/>
      <c r="G90" s="407">
        <f>F90*C90</f>
        <v>0</v>
      </c>
      <c r="H90" s="422"/>
      <c r="I90" s="407">
        <f>H90*C90</f>
        <v>0</v>
      </c>
      <c r="J90" s="408">
        <f>1-H90-F90-D90</f>
        <v>0</v>
      </c>
      <c r="K90" s="409">
        <f>J90*C90</f>
        <v>0</v>
      </c>
    </row>
    <row r="91" spans="1:11">
      <c r="A91" s="193"/>
      <c r="B91" s="210" t="s">
        <v>264</v>
      </c>
      <c r="C91" s="407">
        <f>Tesorería!F18</f>
        <v>0</v>
      </c>
      <c r="D91" s="421">
        <v>1</v>
      </c>
      <c r="E91" s="407">
        <f t="shared" si="23"/>
        <v>0</v>
      </c>
      <c r="F91" s="422"/>
      <c r="G91" s="407">
        <f>F91*C91</f>
        <v>0</v>
      </c>
      <c r="H91" s="422"/>
      <c r="I91" s="407">
        <f>H91*C91</f>
        <v>0</v>
      </c>
      <c r="J91" s="408">
        <f>1-H91-F91-D91</f>
        <v>0</v>
      </c>
      <c r="K91" s="409">
        <f>J91*C91</f>
        <v>0</v>
      </c>
    </row>
    <row r="92" spans="1:11">
      <c r="A92" s="193"/>
      <c r="B92" s="210" t="s">
        <v>469</v>
      </c>
      <c r="C92" s="407">
        <f>Tesorería!F19</f>
        <v>0</v>
      </c>
      <c r="D92" s="421">
        <v>1</v>
      </c>
      <c r="E92" s="407">
        <f t="shared" si="23"/>
        <v>0</v>
      </c>
      <c r="F92" s="422"/>
      <c r="G92" s="407">
        <f>F92*C92</f>
        <v>0</v>
      </c>
      <c r="H92" s="422"/>
      <c r="I92" s="407">
        <f>H92*C92</f>
        <v>0</v>
      </c>
      <c r="J92" s="408">
        <f>1-H92-F92-D92</f>
        <v>0</v>
      </c>
      <c r="K92" s="409">
        <f>J92*C92</f>
        <v>0</v>
      </c>
    </row>
    <row r="93" spans="1:11">
      <c r="A93" s="193"/>
      <c r="B93" s="210" t="s">
        <v>322</v>
      </c>
      <c r="C93" s="407">
        <f>Tesorería!F20</f>
        <v>0</v>
      </c>
      <c r="D93" s="421">
        <v>1</v>
      </c>
      <c r="E93" s="407">
        <f t="shared" si="23"/>
        <v>0</v>
      </c>
      <c r="F93" s="422"/>
      <c r="G93" s="407">
        <f>F93*C93</f>
        <v>0</v>
      </c>
      <c r="H93" s="422"/>
      <c r="I93" s="407">
        <f>H93*C93</f>
        <v>0</v>
      </c>
      <c r="J93" s="408">
        <f>1-H93-F93-D93</f>
        <v>0</v>
      </c>
      <c r="K93" s="409">
        <f>J93*C93</f>
        <v>0</v>
      </c>
    </row>
    <row r="94" spans="1:11">
      <c r="A94" s="193"/>
      <c r="B94" s="210" t="s">
        <v>91</v>
      </c>
      <c r="C94" s="407">
        <f>Tesorería!F21</f>
        <v>0</v>
      </c>
      <c r="D94" s="410">
        <v>1</v>
      </c>
      <c r="E94" s="407">
        <f t="shared" si="23"/>
        <v>0</v>
      </c>
      <c r="F94" s="408"/>
      <c r="G94" s="407"/>
      <c r="H94" s="408"/>
      <c r="I94" s="407"/>
      <c r="J94" s="408"/>
      <c r="K94" s="409"/>
    </row>
    <row r="95" spans="1:11">
      <c r="A95" s="193"/>
      <c r="B95" s="210" t="s">
        <v>92</v>
      </c>
      <c r="C95" s="407">
        <f>Tesorería!F22</f>
        <v>0</v>
      </c>
      <c r="D95" s="421"/>
      <c r="E95" s="407">
        <f t="shared" si="23"/>
        <v>0</v>
      </c>
      <c r="F95" s="422">
        <v>1</v>
      </c>
      <c r="G95" s="407">
        <f>F95*C95</f>
        <v>0</v>
      </c>
      <c r="H95" s="422"/>
      <c r="I95" s="407">
        <f>H95*C95</f>
        <v>0</v>
      </c>
      <c r="J95" s="408">
        <f>1-H95-F95-D95</f>
        <v>0</v>
      </c>
      <c r="K95" s="409">
        <f>J95*C95</f>
        <v>0</v>
      </c>
    </row>
    <row r="96" spans="1:11">
      <c r="A96" s="193"/>
      <c r="B96" s="210" t="s">
        <v>327</v>
      </c>
      <c r="C96" s="407">
        <f>Tesorería!F23</f>
        <v>0</v>
      </c>
      <c r="D96" s="410"/>
      <c r="E96" s="407">
        <f>-'Financiación a lp'!C174</f>
        <v>0</v>
      </c>
      <c r="F96" s="408"/>
      <c r="G96" s="407">
        <f>-'Financiación a lp'!C175</f>
        <v>0</v>
      </c>
      <c r="H96" s="408"/>
      <c r="I96" s="407">
        <f>-'Financiación a lp'!C176</f>
        <v>0</v>
      </c>
      <c r="J96" s="408"/>
      <c r="K96" s="409">
        <f>-'Financiación a lp'!C177</f>
        <v>0</v>
      </c>
    </row>
    <row r="97" spans="1:13">
      <c r="A97" s="193"/>
      <c r="B97" s="210" t="s">
        <v>328</v>
      </c>
      <c r="C97" s="407">
        <f>Tesorería!F24</f>
        <v>0</v>
      </c>
      <c r="D97" s="421">
        <v>0.25</v>
      </c>
      <c r="E97" s="416">
        <f>C97*D97</f>
        <v>0</v>
      </c>
      <c r="F97" s="422">
        <v>0.25</v>
      </c>
      <c r="G97" s="407">
        <f>F97*C97</f>
        <v>0</v>
      </c>
      <c r="H97" s="422">
        <v>0.25</v>
      </c>
      <c r="I97" s="407">
        <f>H97*C97</f>
        <v>0</v>
      </c>
      <c r="J97" s="408">
        <f>1-H97-F97-D97</f>
        <v>0.25</v>
      </c>
      <c r="K97" s="409">
        <f>J97*C97</f>
        <v>0</v>
      </c>
    </row>
    <row r="98" spans="1:13" ht="30">
      <c r="A98" s="411"/>
      <c r="B98" s="527" t="s">
        <v>393</v>
      </c>
      <c r="C98" s="407">
        <f>Tesorería!F25</f>
        <v>0</v>
      </c>
      <c r="D98" s="423">
        <v>0.25</v>
      </c>
      <c r="E98" s="413">
        <f>C98*D98</f>
        <v>0</v>
      </c>
      <c r="F98" s="424">
        <v>0.25</v>
      </c>
      <c r="G98" s="413">
        <f>F98*C98</f>
        <v>0</v>
      </c>
      <c r="H98" s="424">
        <v>0.25</v>
      </c>
      <c r="I98" s="413">
        <f>H98*C98</f>
        <v>0</v>
      </c>
      <c r="J98" s="414">
        <f>1-H98-F98-D98</f>
        <v>0.25</v>
      </c>
      <c r="K98" s="415">
        <f>J98*C98</f>
        <v>0</v>
      </c>
    </row>
    <row r="99" spans="1:13" ht="22.5" customHeight="1">
      <c r="A99" s="473" t="s">
        <v>93</v>
      </c>
      <c r="B99" s="474"/>
      <c r="C99" s="475">
        <f>C78+C86+C89</f>
        <v>0</v>
      </c>
      <c r="D99" s="476"/>
      <c r="E99" s="475">
        <f>E78+E86+E89</f>
        <v>0</v>
      </c>
      <c r="F99" s="477"/>
      <c r="G99" s="475">
        <f>G78+G86+G89</f>
        <v>0</v>
      </c>
      <c r="H99" s="477"/>
      <c r="I99" s="475">
        <f>I78+I86+I89</f>
        <v>0</v>
      </c>
      <c r="J99" s="477"/>
      <c r="K99" s="478">
        <f>K78+K86+K89</f>
        <v>0</v>
      </c>
    </row>
    <row r="100" spans="1:13">
      <c r="A100" s="411"/>
      <c r="B100" s="412" t="s">
        <v>94</v>
      </c>
      <c r="C100" s="407">
        <f>C76</f>
        <v>0</v>
      </c>
      <c r="D100" s="410"/>
      <c r="E100" s="407">
        <f>C100</f>
        <v>0</v>
      </c>
      <c r="F100" s="408"/>
      <c r="G100" s="407">
        <f>E101</f>
        <v>0</v>
      </c>
      <c r="H100" s="408"/>
      <c r="I100" s="407">
        <f>G101</f>
        <v>0</v>
      </c>
      <c r="J100" s="408"/>
      <c r="K100" s="409">
        <f>I101</f>
        <v>0</v>
      </c>
    </row>
    <row r="101" spans="1:13" ht="22.5" customHeight="1" thickBot="1">
      <c r="A101" s="1087" t="s">
        <v>95</v>
      </c>
      <c r="B101" s="1088"/>
      <c r="C101" s="417">
        <f>SUM(C99:C100)</f>
        <v>0</v>
      </c>
      <c r="D101" s="418"/>
      <c r="E101" s="417">
        <f>SUM(E99:E100)</f>
        <v>0</v>
      </c>
      <c r="F101" s="418"/>
      <c r="G101" s="417">
        <f>SUM(G99:G100)</f>
        <v>0</v>
      </c>
      <c r="H101" s="418"/>
      <c r="I101" s="417">
        <f>SUM(I99:I100)</f>
        <v>0</v>
      </c>
      <c r="J101" s="418"/>
      <c r="K101" s="419">
        <f>SUM(K99:K100)</f>
        <v>0</v>
      </c>
      <c r="M101" s="161">
        <f>C101-'Presupuesto de capital'!H26</f>
        <v>0</v>
      </c>
    </row>
    <row r="102" spans="1:13" ht="33" customHeight="1" thickBot="1">
      <c r="A102" s="1085" t="s">
        <v>326</v>
      </c>
      <c r="B102" s="1086"/>
      <c r="C102" s="406" t="s">
        <v>285</v>
      </c>
      <c r="D102" s="1089" t="s">
        <v>75</v>
      </c>
      <c r="E102" s="1091"/>
      <c r="F102" s="1089" t="s">
        <v>76</v>
      </c>
      <c r="G102" s="1091"/>
      <c r="H102" s="1089" t="s">
        <v>77</v>
      </c>
      <c r="I102" s="1091"/>
      <c r="J102" s="1089" t="s">
        <v>78</v>
      </c>
      <c r="K102" s="1090"/>
    </row>
    <row r="103" spans="1:13" ht="22.5" customHeight="1">
      <c r="A103" s="467" t="s">
        <v>79</v>
      </c>
      <c r="B103" s="468"/>
      <c r="C103" s="469">
        <f>SUM(C104:C110)</f>
        <v>0</v>
      </c>
      <c r="D103" s="470"/>
      <c r="E103" s="469">
        <f>SUM(E104:E110)</f>
        <v>0</v>
      </c>
      <c r="F103" s="471"/>
      <c r="G103" s="469">
        <f>SUM(G104:G110)</f>
        <v>0</v>
      </c>
      <c r="H103" s="471"/>
      <c r="I103" s="469">
        <f>SUM(I104:I110)</f>
        <v>0</v>
      </c>
      <c r="J103" s="471"/>
      <c r="K103" s="472">
        <f>SUM(K104:K110)</f>
        <v>0</v>
      </c>
    </row>
    <row r="104" spans="1:13">
      <c r="A104" s="193"/>
      <c r="B104" s="210" t="s">
        <v>80</v>
      </c>
      <c r="C104" s="407">
        <f>Tesorería!G5</f>
        <v>0</v>
      </c>
      <c r="D104" s="421">
        <v>0.25</v>
      </c>
      <c r="E104" s="407">
        <f t="shared" ref="E104:E109" si="24">C104*D104</f>
        <v>0</v>
      </c>
      <c r="F104" s="422">
        <v>0.25</v>
      </c>
      <c r="G104" s="407">
        <f t="shared" ref="G104:G109" si="25">F104*C104</f>
        <v>0</v>
      </c>
      <c r="H104" s="422">
        <v>0.25</v>
      </c>
      <c r="I104" s="407">
        <f t="shared" ref="I104:I109" si="26">H104*C104</f>
        <v>0</v>
      </c>
      <c r="J104" s="408">
        <f t="shared" ref="J104:J109" si="27">1-H104-F104-D104</f>
        <v>0.25</v>
      </c>
      <c r="K104" s="409">
        <f t="shared" ref="K104:K109" si="28">J104*C104</f>
        <v>0</v>
      </c>
    </row>
    <row r="105" spans="1:13">
      <c r="A105" s="193"/>
      <c r="B105" s="210" t="s">
        <v>81</v>
      </c>
      <c r="C105" s="407">
        <f>Tesorería!G6</f>
        <v>0</v>
      </c>
      <c r="D105" s="421">
        <v>0.25</v>
      </c>
      <c r="E105" s="407">
        <f t="shared" si="24"/>
        <v>0</v>
      </c>
      <c r="F105" s="422">
        <v>0.25</v>
      </c>
      <c r="G105" s="407">
        <f t="shared" si="25"/>
        <v>0</v>
      </c>
      <c r="H105" s="422">
        <v>0.25</v>
      </c>
      <c r="I105" s="407">
        <f t="shared" si="26"/>
        <v>0</v>
      </c>
      <c r="J105" s="408">
        <f t="shared" si="27"/>
        <v>0.25</v>
      </c>
      <c r="K105" s="409">
        <f t="shared" si="28"/>
        <v>0</v>
      </c>
    </row>
    <row r="106" spans="1:13">
      <c r="A106" s="193"/>
      <c r="B106" s="210" t="s">
        <v>82</v>
      </c>
      <c r="C106" s="407">
        <f>Tesorería!G7</f>
        <v>0</v>
      </c>
      <c r="D106" s="421">
        <v>0.25</v>
      </c>
      <c r="E106" s="407">
        <f t="shared" si="24"/>
        <v>0</v>
      </c>
      <c r="F106" s="422">
        <v>0.25</v>
      </c>
      <c r="G106" s="407">
        <f t="shared" si="25"/>
        <v>0</v>
      </c>
      <c r="H106" s="422">
        <v>0.25</v>
      </c>
      <c r="I106" s="407">
        <f t="shared" si="26"/>
        <v>0</v>
      </c>
      <c r="J106" s="408">
        <f t="shared" si="27"/>
        <v>0.25</v>
      </c>
      <c r="K106" s="409">
        <f t="shared" si="28"/>
        <v>0</v>
      </c>
    </row>
    <row r="107" spans="1:13">
      <c r="A107" s="193"/>
      <c r="B107" s="210" t="s">
        <v>83</v>
      </c>
      <c r="C107" s="407">
        <f>Tesorería!G9</f>
        <v>0</v>
      </c>
      <c r="D107" s="421">
        <v>0.25</v>
      </c>
      <c r="E107" s="407">
        <f t="shared" si="24"/>
        <v>0</v>
      </c>
      <c r="F107" s="422">
        <v>0.25</v>
      </c>
      <c r="G107" s="407">
        <f t="shared" si="25"/>
        <v>0</v>
      </c>
      <c r="H107" s="422">
        <v>0.25</v>
      </c>
      <c r="I107" s="407">
        <f t="shared" si="26"/>
        <v>0</v>
      </c>
      <c r="J107" s="408">
        <f t="shared" si="27"/>
        <v>0.25</v>
      </c>
      <c r="K107" s="409">
        <f t="shared" si="28"/>
        <v>0</v>
      </c>
    </row>
    <row r="108" spans="1:13">
      <c r="A108" s="193"/>
      <c r="B108" s="210" t="s">
        <v>84</v>
      </c>
      <c r="C108" s="407">
        <f>Tesorería!G10</f>
        <v>0</v>
      </c>
      <c r="D108" s="421">
        <v>0.25</v>
      </c>
      <c r="E108" s="407">
        <f t="shared" si="24"/>
        <v>0</v>
      </c>
      <c r="F108" s="422">
        <v>0.25</v>
      </c>
      <c r="G108" s="407">
        <f t="shared" si="25"/>
        <v>0</v>
      </c>
      <c r="H108" s="422">
        <v>0.25</v>
      </c>
      <c r="I108" s="407">
        <f t="shared" si="26"/>
        <v>0</v>
      </c>
      <c r="J108" s="408">
        <f t="shared" si="27"/>
        <v>0.25</v>
      </c>
      <c r="K108" s="409">
        <f t="shared" si="28"/>
        <v>0</v>
      </c>
    </row>
    <row r="109" spans="1:13">
      <c r="A109" s="193"/>
      <c r="B109" s="210" t="s">
        <v>131</v>
      </c>
      <c r="C109" s="407">
        <f>Tesorería!G11</f>
        <v>0</v>
      </c>
      <c r="D109" s="421"/>
      <c r="E109" s="407">
        <f t="shared" si="24"/>
        <v>0</v>
      </c>
      <c r="F109" s="422"/>
      <c r="G109" s="407">
        <f t="shared" si="25"/>
        <v>0</v>
      </c>
      <c r="H109" s="422">
        <v>1</v>
      </c>
      <c r="I109" s="407">
        <f t="shared" si="26"/>
        <v>0</v>
      </c>
      <c r="J109" s="408">
        <f t="shared" si="27"/>
        <v>0</v>
      </c>
      <c r="K109" s="409">
        <f t="shared" si="28"/>
        <v>0</v>
      </c>
    </row>
    <row r="110" spans="1:13">
      <c r="A110" s="193"/>
      <c r="B110" s="210" t="s">
        <v>85</v>
      </c>
      <c r="C110" s="407">
        <f>Tesorería!G12</f>
        <v>0</v>
      </c>
      <c r="D110" s="410"/>
      <c r="E110" s="407">
        <f>-'Financiación a lp'!B179</f>
        <v>0</v>
      </c>
      <c r="F110" s="408"/>
      <c r="G110" s="407">
        <f>-'Financiación a lp'!B180</f>
        <v>0</v>
      </c>
      <c r="H110" s="408"/>
      <c r="I110" s="407">
        <f>-'Financiación a lp'!B181</f>
        <v>0</v>
      </c>
      <c r="J110" s="408"/>
      <c r="K110" s="409">
        <f>-'Financiación a lp'!B182</f>
        <v>0</v>
      </c>
    </row>
    <row r="111" spans="1:13" ht="22.5" customHeight="1">
      <c r="A111" s="473" t="s">
        <v>86</v>
      </c>
      <c r="B111" s="474"/>
      <c r="C111" s="475">
        <f>SUM(C112:C113)</f>
        <v>0</v>
      </c>
      <c r="D111" s="476"/>
      <c r="E111" s="475">
        <f>SUM(E112:E113)</f>
        <v>0</v>
      </c>
      <c r="F111" s="477"/>
      <c r="G111" s="475">
        <f>SUM(G112:G113)</f>
        <v>0</v>
      </c>
      <c r="H111" s="477"/>
      <c r="I111" s="475">
        <f>SUM(I112:I113)</f>
        <v>0</v>
      </c>
      <c r="J111" s="477"/>
      <c r="K111" s="478">
        <f>SUM(K112:K113)</f>
        <v>0</v>
      </c>
    </row>
    <row r="112" spans="1:13">
      <c r="A112" s="193"/>
      <c r="B112" s="210" t="s">
        <v>87</v>
      </c>
      <c r="C112" s="407">
        <f>Tesorería!G14</f>
        <v>0</v>
      </c>
      <c r="D112" s="421"/>
      <c r="E112" s="407">
        <f>C112*D112</f>
        <v>0</v>
      </c>
      <c r="F112" s="422"/>
      <c r="G112" s="407">
        <f>F112*C112</f>
        <v>0</v>
      </c>
      <c r="H112" s="422"/>
      <c r="I112" s="407">
        <f>H112*C112</f>
        <v>0</v>
      </c>
      <c r="J112" s="408">
        <f>1-H112-F112-D112</f>
        <v>1</v>
      </c>
      <c r="K112" s="409">
        <f>J112*C112</f>
        <v>0</v>
      </c>
    </row>
    <row r="113" spans="1:13">
      <c r="A113" s="411"/>
      <c r="B113" s="412" t="s">
        <v>88</v>
      </c>
      <c r="C113" s="407">
        <f>Tesorería!G15</f>
        <v>0</v>
      </c>
      <c r="D113" s="423">
        <v>1</v>
      </c>
      <c r="E113" s="413">
        <f>C113*D113</f>
        <v>0</v>
      </c>
      <c r="F113" s="424"/>
      <c r="G113" s="413">
        <f>F113*C113</f>
        <v>0</v>
      </c>
      <c r="H113" s="424"/>
      <c r="I113" s="413">
        <f>H113*C113</f>
        <v>0</v>
      </c>
      <c r="J113" s="414">
        <f>1-H113-F113-D113</f>
        <v>0</v>
      </c>
      <c r="K113" s="415">
        <f>J113*C113</f>
        <v>0</v>
      </c>
    </row>
    <row r="114" spans="1:13" ht="22.5" customHeight="1">
      <c r="A114" s="473" t="s">
        <v>89</v>
      </c>
      <c r="B114" s="474"/>
      <c r="C114" s="475">
        <f>SUM(C115:C123)</f>
        <v>0</v>
      </c>
      <c r="D114" s="476"/>
      <c r="E114" s="475">
        <f>SUM(E115:E123)</f>
        <v>0</v>
      </c>
      <c r="F114" s="477"/>
      <c r="G114" s="475">
        <f>SUM(G115:G123)</f>
        <v>0</v>
      </c>
      <c r="H114" s="477"/>
      <c r="I114" s="475">
        <f>SUM(I115:I123)</f>
        <v>0</v>
      </c>
      <c r="J114" s="477"/>
      <c r="K114" s="478">
        <f>SUM(K115:K123)</f>
        <v>0</v>
      </c>
    </row>
    <row r="115" spans="1:13">
      <c r="A115" s="193"/>
      <c r="B115" s="210" t="s">
        <v>90</v>
      </c>
      <c r="C115" s="407">
        <f>Tesorería!G17</f>
        <v>0</v>
      </c>
      <c r="D115" s="421">
        <v>1</v>
      </c>
      <c r="E115" s="407">
        <f t="shared" ref="E115:E120" si="29">C115*D115</f>
        <v>0</v>
      </c>
      <c r="F115" s="422"/>
      <c r="G115" s="407">
        <f>F115*C115</f>
        <v>0</v>
      </c>
      <c r="H115" s="422"/>
      <c r="I115" s="407">
        <f>H115*C115</f>
        <v>0</v>
      </c>
      <c r="J115" s="408">
        <f>1-H115-F115-D115</f>
        <v>0</v>
      </c>
      <c r="K115" s="409">
        <f>J115*C115</f>
        <v>0</v>
      </c>
    </row>
    <row r="116" spans="1:13">
      <c r="A116" s="193"/>
      <c r="B116" s="210" t="s">
        <v>264</v>
      </c>
      <c r="C116" s="407">
        <f>Tesorería!G18</f>
        <v>0</v>
      </c>
      <c r="D116" s="421">
        <v>1</v>
      </c>
      <c r="E116" s="407">
        <f t="shared" si="29"/>
        <v>0</v>
      </c>
      <c r="F116" s="422"/>
      <c r="G116" s="407">
        <f>F116*C116</f>
        <v>0</v>
      </c>
      <c r="H116" s="422"/>
      <c r="I116" s="407">
        <f>H116*C116</f>
        <v>0</v>
      </c>
      <c r="J116" s="408">
        <f>1-H116-F116-D116</f>
        <v>0</v>
      </c>
      <c r="K116" s="409">
        <f>J116*C116</f>
        <v>0</v>
      </c>
    </row>
    <row r="117" spans="1:13">
      <c r="A117" s="193"/>
      <c r="B117" s="210" t="s">
        <v>469</v>
      </c>
      <c r="C117" s="407">
        <f>Tesorería!G19</f>
        <v>0</v>
      </c>
      <c r="D117" s="421">
        <v>1</v>
      </c>
      <c r="E117" s="407">
        <f t="shared" si="29"/>
        <v>0</v>
      </c>
      <c r="F117" s="422"/>
      <c r="G117" s="407">
        <f>F117*C117</f>
        <v>0</v>
      </c>
      <c r="H117" s="422"/>
      <c r="I117" s="407">
        <f>H117*C117</f>
        <v>0</v>
      </c>
      <c r="J117" s="408">
        <f>1-H117-F117-D117</f>
        <v>0</v>
      </c>
      <c r="K117" s="409">
        <f>J117*C117</f>
        <v>0</v>
      </c>
    </row>
    <row r="118" spans="1:13">
      <c r="A118" s="193"/>
      <c r="B118" s="210" t="s">
        <v>322</v>
      </c>
      <c r="C118" s="407">
        <f>Tesorería!G20</f>
        <v>0</v>
      </c>
      <c r="D118" s="421">
        <v>1</v>
      </c>
      <c r="E118" s="407">
        <f t="shared" si="29"/>
        <v>0</v>
      </c>
      <c r="F118" s="422"/>
      <c r="G118" s="407">
        <f>F118*C118</f>
        <v>0</v>
      </c>
      <c r="H118" s="422"/>
      <c r="I118" s="407">
        <f>H118*C118</f>
        <v>0</v>
      </c>
      <c r="J118" s="408">
        <f>1-H118-F118-D118</f>
        <v>0</v>
      </c>
      <c r="K118" s="409">
        <f>J118*C118</f>
        <v>0</v>
      </c>
    </row>
    <row r="119" spans="1:13">
      <c r="A119" s="193"/>
      <c r="B119" s="210" t="s">
        <v>91</v>
      </c>
      <c r="C119" s="407">
        <f>Tesorería!G21</f>
        <v>0</v>
      </c>
      <c r="D119" s="410">
        <v>1</v>
      </c>
      <c r="E119" s="407">
        <f t="shared" si="29"/>
        <v>0</v>
      </c>
      <c r="F119" s="408"/>
      <c r="G119" s="407"/>
      <c r="H119" s="408"/>
      <c r="I119" s="407"/>
      <c r="J119" s="408"/>
      <c r="K119" s="409"/>
    </row>
    <row r="120" spans="1:13">
      <c r="A120" s="193"/>
      <c r="B120" s="210" t="s">
        <v>92</v>
      </c>
      <c r="C120" s="407">
        <f>Tesorería!G22</f>
        <v>0</v>
      </c>
      <c r="D120" s="421"/>
      <c r="E120" s="407">
        <f t="shared" si="29"/>
        <v>0</v>
      </c>
      <c r="F120" s="422">
        <v>1</v>
      </c>
      <c r="G120" s="407">
        <f>F120*C120</f>
        <v>0</v>
      </c>
      <c r="H120" s="422"/>
      <c r="I120" s="407">
        <f>H120*C120</f>
        <v>0</v>
      </c>
      <c r="J120" s="408">
        <f>1-H120-F120-D120</f>
        <v>0</v>
      </c>
      <c r="K120" s="409">
        <f>J120*C120</f>
        <v>0</v>
      </c>
    </row>
    <row r="121" spans="1:13">
      <c r="A121" s="193"/>
      <c r="B121" s="210" t="s">
        <v>327</v>
      </c>
      <c r="C121" s="407">
        <f>Tesorería!G23</f>
        <v>0</v>
      </c>
      <c r="D121" s="410"/>
      <c r="E121" s="407">
        <f>-'Financiación a lp'!C179</f>
        <v>0</v>
      </c>
      <c r="F121" s="408"/>
      <c r="G121" s="407">
        <f>-'Financiación a lp'!C180</f>
        <v>0</v>
      </c>
      <c r="H121" s="408"/>
      <c r="I121" s="407">
        <f>-'Financiación a lp'!C181</f>
        <v>0</v>
      </c>
      <c r="J121" s="408"/>
      <c r="K121" s="409">
        <f>-'Financiación a lp'!C182</f>
        <v>0</v>
      </c>
    </row>
    <row r="122" spans="1:13">
      <c r="A122" s="193"/>
      <c r="B122" s="210" t="s">
        <v>328</v>
      </c>
      <c r="C122" s="407">
        <f>Tesorería!G24</f>
        <v>0</v>
      </c>
      <c r="D122" s="421">
        <v>0.25</v>
      </c>
      <c r="E122" s="416">
        <f>C122*D122</f>
        <v>0</v>
      </c>
      <c r="F122" s="422">
        <v>0.25</v>
      </c>
      <c r="G122" s="407">
        <f>F122*C122</f>
        <v>0</v>
      </c>
      <c r="H122" s="422">
        <v>0.25</v>
      </c>
      <c r="I122" s="407">
        <f>H122*C122</f>
        <v>0</v>
      </c>
      <c r="J122" s="408">
        <f>1-H122-F122-D122</f>
        <v>0.25</v>
      </c>
      <c r="K122" s="409">
        <f>J122*C122</f>
        <v>0</v>
      </c>
    </row>
    <row r="123" spans="1:13" ht="30">
      <c r="A123" s="411"/>
      <c r="B123" s="527" t="s">
        <v>393</v>
      </c>
      <c r="C123" s="407">
        <f>Tesorería!G25</f>
        <v>0</v>
      </c>
      <c r="D123" s="423">
        <v>0.25</v>
      </c>
      <c r="E123" s="413">
        <f>C123*D123</f>
        <v>0</v>
      </c>
      <c r="F123" s="424">
        <v>0.25</v>
      </c>
      <c r="G123" s="413">
        <f>F123*C123</f>
        <v>0</v>
      </c>
      <c r="H123" s="424">
        <v>0.25</v>
      </c>
      <c r="I123" s="413">
        <f>H123*C123</f>
        <v>0</v>
      </c>
      <c r="J123" s="414">
        <f>1-H123-F123-D123</f>
        <v>0.25</v>
      </c>
      <c r="K123" s="415">
        <f>J123*C123</f>
        <v>0</v>
      </c>
    </row>
    <row r="124" spans="1:13" ht="22.5" customHeight="1">
      <c r="A124" s="473" t="s">
        <v>93</v>
      </c>
      <c r="B124" s="474"/>
      <c r="C124" s="475">
        <f>C103+C111+C114</f>
        <v>0</v>
      </c>
      <c r="D124" s="476"/>
      <c r="E124" s="475">
        <f>E103+E111+E114</f>
        <v>0</v>
      </c>
      <c r="F124" s="477"/>
      <c r="G124" s="475">
        <f>G103+G111+G114</f>
        <v>0</v>
      </c>
      <c r="H124" s="477"/>
      <c r="I124" s="475">
        <f>I103+I111+I114</f>
        <v>0</v>
      </c>
      <c r="J124" s="477"/>
      <c r="K124" s="478">
        <f>K103+K111+K114</f>
        <v>0</v>
      </c>
    </row>
    <row r="125" spans="1:13">
      <c r="A125" s="411"/>
      <c r="B125" s="412" t="s">
        <v>94</v>
      </c>
      <c r="C125" s="407">
        <f>C101</f>
        <v>0</v>
      </c>
      <c r="D125" s="410"/>
      <c r="E125" s="407">
        <f>C125</f>
        <v>0</v>
      </c>
      <c r="F125" s="408"/>
      <c r="G125" s="407">
        <f>E126</f>
        <v>0</v>
      </c>
      <c r="H125" s="408"/>
      <c r="I125" s="407">
        <f>G126</f>
        <v>0</v>
      </c>
      <c r="J125" s="408"/>
      <c r="K125" s="409">
        <f>I126</f>
        <v>0</v>
      </c>
    </row>
    <row r="126" spans="1:13" ht="22.5" customHeight="1" thickBot="1">
      <c r="A126" s="1087" t="s">
        <v>95</v>
      </c>
      <c r="B126" s="1088"/>
      <c r="C126" s="417">
        <f>SUM(C124:C125)</f>
        <v>0</v>
      </c>
      <c r="D126" s="418"/>
      <c r="E126" s="417">
        <f>SUM(E124:E125)</f>
        <v>0</v>
      </c>
      <c r="F126" s="418"/>
      <c r="G126" s="417">
        <f>SUM(G124:G125)</f>
        <v>0</v>
      </c>
      <c r="H126" s="418"/>
      <c r="I126" s="417">
        <f>SUM(I124:I125)</f>
        <v>0</v>
      </c>
      <c r="J126" s="418"/>
      <c r="K126" s="419">
        <f>SUM(K124:K125)</f>
        <v>0</v>
      </c>
      <c r="M126" s="161">
        <f>C126-'Presupuesto de capital'!I26</f>
        <v>0</v>
      </c>
    </row>
  </sheetData>
  <mergeCells count="31">
    <mergeCell ref="A26:B26"/>
    <mergeCell ref="H102:I102"/>
    <mergeCell ref="H77:I77"/>
    <mergeCell ref="F27:G27"/>
    <mergeCell ref="A77:B77"/>
    <mergeCell ref="A51:B51"/>
    <mergeCell ref="A1:K1"/>
    <mergeCell ref="A2:B2"/>
    <mergeCell ref="D2:E2"/>
    <mergeCell ref="F2:G2"/>
    <mergeCell ref="H2:I2"/>
    <mergeCell ref="H52:I52"/>
    <mergeCell ref="J2:K2"/>
    <mergeCell ref="H27:I27"/>
    <mergeCell ref="J27:K27"/>
    <mergeCell ref="J52:K52"/>
    <mergeCell ref="A126:B126"/>
    <mergeCell ref="A101:B101"/>
    <mergeCell ref="A102:B102"/>
    <mergeCell ref="A27:B27"/>
    <mergeCell ref="D27:E27"/>
    <mergeCell ref="A76:B76"/>
    <mergeCell ref="D77:E77"/>
    <mergeCell ref="J77:K77"/>
    <mergeCell ref="D102:E102"/>
    <mergeCell ref="A52:B52"/>
    <mergeCell ref="F102:G102"/>
    <mergeCell ref="J102:K102"/>
    <mergeCell ref="D52:E52"/>
    <mergeCell ref="F77:G77"/>
    <mergeCell ref="F52:G52"/>
  </mergeCells>
  <phoneticPr fontId="47" type="noConversion"/>
  <printOptions horizontalCentered="1" gridLinesSet="0"/>
  <pageMargins left="0.31496062992125984" right="0.55118110236220474" top="0.74803149606299213" bottom="0.59055118110236227" header="0.23622047244094491" footer="0.31496062992125984"/>
  <pageSetup paperSize="9" fitToHeight="3" orientation="landscape" horizontalDpi="4294967292" r:id="rId1"/>
  <headerFooter alignWithMargins="0">
    <oddHeader>&amp;C&amp;"Trebuchet MS,Normal"&amp;14&amp;U&amp;A</oddHeader>
    <oddFooter>Página &amp;P</oddFooter>
  </headerFooter>
  <rowBreaks count="4" manualBreakCount="4">
    <brk id="26" max="10" man="1"/>
    <brk id="51" max="10" man="1"/>
    <brk id="76" max="10" man="1"/>
    <brk id="101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 fitToPage="1"/>
  </sheetPr>
  <dimension ref="A1:M33"/>
  <sheetViews>
    <sheetView showGridLines="0" showZeros="0" zoomScale="90" zoomScaleNormal="90" workbookViewId="0">
      <pane xSplit="8" ySplit="33" topLeftCell="I34" activePane="bottomRight" state="frozen"/>
      <selection pane="topRight" activeCell="I1" sqref="I1"/>
      <selection pane="bottomLeft" activeCell="A34" sqref="A34"/>
      <selection pane="bottomRight" activeCell="D33" sqref="D33"/>
    </sheetView>
  </sheetViews>
  <sheetFormatPr baseColWidth="10" defaultColWidth="11.25" defaultRowHeight="16.5"/>
  <cols>
    <col min="1" max="1" width="4.875" style="465" customWidth="1"/>
    <col min="2" max="2" width="5.75" style="465" customWidth="1"/>
    <col min="3" max="3" width="49.75" style="465" customWidth="1"/>
    <col min="4" max="8" width="15.25" style="466" customWidth="1"/>
    <col min="9" max="9" width="8.125" style="465" bestFit="1" customWidth="1"/>
    <col min="10" max="10" width="7.625" style="465" bestFit="1" customWidth="1"/>
    <col min="11" max="11" width="7.125" style="465" bestFit="1" customWidth="1"/>
    <col min="12" max="13" width="7.625" style="465" bestFit="1" customWidth="1"/>
    <col min="14" max="16384" width="11.25" style="465"/>
  </cols>
  <sheetData>
    <row r="1" spans="1:8" s="427" customFormat="1" ht="28.5" customHeight="1" thickBot="1">
      <c r="A1" s="1092" t="s">
        <v>394</v>
      </c>
      <c r="B1" s="1093"/>
      <c r="C1" s="1093"/>
      <c r="D1" s="425" t="s">
        <v>60</v>
      </c>
      <c r="E1" s="425" t="s">
        <v>61</v>
      </c>
      <c r="F1" s="425" t="s">
        <v>62</v>
      </c>
      <c r="G1" s="425" t="s">
        <v>176</v>
      </c>
      <c r="H1" s="426" t="s">
        <v>177</v>
      </c>
    </row>
    <row r="2" spans="1:8" s="432" customFormat="1" ht="24.75" customHeight="1" thickBot="1">
      <c r="A2" s="428" t="s">
        <v>336</v>
      </c>
      <c r="B2" s="429"/>
      <c r="C2" s="429"/>
      <c r="D2" s="430">
        <f>Resultados!D22</f>
        <v>0</v>
      </c>
      <c r="E2" s="430">
        <f>Resultados!G22</f>
        <v>0</v>
      </c>
      <c r="F2" s="430">
        <f>Resultados!J22</f>
        <v>0</v>
      </c>
      <c r="G2" s="430">
        <f>Resultados!M22</f>
        <v>0</v>
      </c>
      <c r="H2" s="431">
        <f>Resultados!P22</f>
        <v>0</v>
      </c>
    </row>
    <row r="3" spans="1:8" s="432" customFormat="1" ht="24.75" customHeight="1">
      <c r="A3" s="433" t="s">
        <v>337</v>
      </c>
      <c r="B3" s="434"/>
      <c r="C3" s="434"/>
      <c r="D3" s="435">
        <f>SUM(D4:D7)</f>
        <v>0</v>
      </c>
      <c r="E3" s="435">
        <f>SUM(E4:E7)</f>
        <v>0</v>
      </c>
      <c r="F3" s="435">
        <f>SUM(F4:F7)</f>
        <v>0</v>
      </c>
      <c r="G3" s="435">
        <f>SUM(G4:G7)</f>
        <v>0</v>
      </c>
      <c r="H3" s="436">
        <f>SUM(H4:H7)</f>
        <v>0</v>
      </c>
    </row>
    <row r="4" spans="1:8" s="440" customFormat="1" ht="15">
      <c r="A4" s="437" t="s">
        <v>41</v>
      </c>
      <c r="B4" s="173" t="s">
        <v>330</v>
      </c>
      <c r="C4" s="173"/>
      <c r="D4" s="438">
        <f>-Resultados!D19</f>
        <v>0</v>
      </c>
      <c r="E4" s="438">
        <f>-Resultados!G19</f>
        <v>0</v>
      </c>
      <c r="F4" s="438">
        <f>-Resultados!J19</f>
        <v>0</v>
      </c>
      <c r="G4" s="438">
        <f>-Resultados!M19</f>
        <v>0</v>
      </c>
      <c r="H4" s="439">
        <f>-Resultados!P19</f>
        <v>0</v>
      </c>
    </row>
    <row r="5" spans="1:8" s="440" customFormat="1" ht="15">
      <c r="A5" s="437" t="s">
        <v>3</v>
      </c>
      <c r="B5" s="173" t="s">
        <v>452</v>
      </c>
      <c r="C5" s="173"/>
      <c r="D5" s="438">
        <f>-SUM(Resultados!C8:C9)</f>
        <v>0</v>
      </c>
      <c r="E5" s="438">
        <f>-SUM(Resultados!F8:F9)</f>
        <v>0</v>
      </c>
      <c r="F5" s="438">
        <f>-SUM(Resultados!I8:I9)</f>
        <v>0</v>
      </c>
      <c r="G5" s="438">
        <f>-SUM(Resultados!L8:L9)</f>
        <v>0</v>
      </c>
      <c r="H5" s="439">
        <f>-SUM(Resultados!O8:O9)</f>
        <v>0</v>
      </c>
    </row>
    <row r="6" spans="1:8" s="440" customFormat="1" ht="15">
      <c r="A6" s="437" t="s">
        <v>3</v>
      </c>
      <c r="B6" s="173" t="s">
        <v>338</v>
      </c>
      <c r="C6" s="173"/>
      <c r="D6" s="438">
        <f>-Resultados!C10</f>
        <v>0</v>
      </c>
      <c r="E6" s="438">
        <f>-Resultados!F10</f>
        <v>0</v>
      </c>
      <c r="F6" s="438">
        <f>-Resultados!I10</f>
        <v>0</v>
      </c>
      <c r="G6" s="438">
        <f>-Resultados!L10</f>
        <v>0</v>
      </c>
      <c r="H6" s="439">
        <f>-Resultados!O10</f>
        <v>0</v>
      </c>
    </row>
    <row r="7" spans="1:8" s="440" customFormat="1" ht="15">
      <c r="A7" s="437" t="s">
        <v>124</v>
      </c>
      <c r="B7" s="173" t="s">
        <v>120</v>
      </c>
      <c r="C7" s="173"/>
      <c r="D7" s="438">
        <f>'Hoja de trabajo'!L41</f>
        <v>0</v>
      </c>
      <c r="E7" s="438">
        <f>'Hoja de trabajo'!L85</f>
        <v>0</v>
      </c>
      <c r="F7" s="438">
        <f>'Hoja de trabajo'!L129</f>
        <v>0</v>
      </c>
      <c r="G7" s="438">
        <f>'Hoja de trabajo'!L173</f>
        <v>0</v>
      </c>
      <c r="H7" s="439">
        <f>'Hoja de trabajo'!L217</f>
        <v>0</v>
      </c>
    </row>
    <row r="8" spans="1:8" s="114" customFormat="1" ht="24.75" customHeight="1">
      <c r="A8" s="441" t="s">
        <v>391</v>
      </c>
      <c r="D8" s="442">
        <f>D9+D10+D13</f>
        <v>0</v>
      </c>
      <c r="E8" s="442">
        <f>E9+E10+E13</f>
        <v>0</v>
      </c>
      <c r="F8" s="442">
        <f>F9+F10+F13</f>
        <v>0</v>
      </c>
      <c r="G8" s="442">
        <f>G9+G10+G13</f>
        <v>0</v>
      </c>
      <c r="H8" s="443">
        <f>H9+H10+H13</f>
        <v>0</v>
      </c>
    </row>
    <row r="9" spans="1:8" s="447" customFormat="1" ht="15" customHeight="1">
      <c r="A9" s="444" t="s">
        <v>98</v>
      </c>
      <c r="B9" s="186" t="s">
        <v>339</v>
      </c>
      <c r="C9" s="186"/>
      <c r="D9" s="445">
        <f>'Hoja de trabajo'!E10-'Hoja de trabajo'!D10</f>
        <v>0</v>
      </c>
      <c r="E9" s="445">
        <f>'Hoja de trabajo'!E54-'Hoja de trabajo'!D54</f>
        <v>0</v>
      </c>
      <c r="F9" s="445">
        <f>'Hoja de trabajo'!E98-'Hoja de trabajo'!D98</f>
        <v>0</v>
      </c>
      <c r="G9" s="445">
        <f>'Hoja de trabajo'!E142-'Hoja de trabajo'!D142</f>
        <v>0</v>
      </c>
      <c r="H9" s="446">
        <f>'Hoja de trabajo'!E186-'Hoja de trabajo'!D186</f>
        <v>0</v>
      </c>
    </row>
    <row r="10" spans="1:8" s="447" customFormat="1" ht="15" customHeight="1">
      <c r="A10" s="444" t="s">
        <v>98</v>
      </c>
      <c r="B10" s="186" t="s">
        <v>340</v>
      </c>
      <c r="C10" s="186"/>
      <c r="D10" s="448">
        <f>SUM(D11:D12)</f>
        <v>0</v>
      </c>
      <c r="E10" s="448">
        <f>SUM(E11:E12)</f>
        <v>0</v>
      </c>
      <c r="F10" s="448">
        <f>SUM(F11:F12)</f>
        <v>0</v>
      </c>
      <c r="G10" s="448">
        <f>SUM(G11:G12)</f>
        <v>0</v>
      </c>
      <c r="H10" s="449">
        <f>SUM(H11:H12)</f>
        <v>0</v>
      </c>
    </row>
    <row r="11" spans="1:8" s="440" customFormat="1" ht="15" customHeight="1">
      <c r="A11" s="437"/>
      <c r="B11" s="438" t="s">
        <v>98</v>
      </c>
      <c r="C11" s="173" t="s">
        <v>332</v>
      </c>
      <c r="D11" s="438">
        <f>'Hoja de trabajo'!E11-'Hoja de trabajo'!D11</f>
        <v>0</v>
      </c>
      <c r="E11" s="438">
        <f>'Hoja de trabajo'!E55-'Hoja de trabajo'!D55</f>
        <v>0</v>
      </c>
      <c r="F11" s="438">
        <f>'Hoja de trabajo'!E99-'Hoja de trabajo'!D99</f>
        <v>0</v>
      </c>
      <c r="G11" s="438">
        <f>'Hoja de trabajo'!E143-'Hoja de trabajo'!D143</f>
        <v>0</v>
      </c>
      <c r="H11" s="439">
        <f>'Hoja de trabajo'!E187-'Hoja de trabajo'!D187</f>
        <v>0</v>
      </c>
    </row>
    <row r="12" spans="1:8" s="440" customFormat="1" ht="15" customHeight="1">
      <c r="A12" s="437"/>
      <c r="B12" s="438" t="s">
        <v>98</v>
      </c>
      <c r="C12" s="173" t="s">
        <v>333</v>
      </c>
      <c r="D12" s="438">
        <f>SUM('Hoja de trabajo'!E12:E13)-SUM('Hoja de trabajo'!D12:D13)</f>
        <v>0</v>
      </c>
      <c r="E12" s="438">
        <f>SUM('Hoja de trabajo'!E56:E57)-SUM('Hoja de trabajo'!D56:D57)</f>
        <v>0</v>
      </c>
      <c r="F12" s="438">
        <f>SUM('Hoja de trabajo'!E100:E101)-SUM('Hoja de trabajo'!D100:D101)</f>
        <v>0</v>
      </c>
      <c r="G12" s="438">
        <f>SUM('Hoja de trabajo'!E144:E145)-SUM('Hoja de trabajo'!D144:D145)</f>
        <v>0</v>
      </c>
      <c r="H12" s="439">
        <f>SUM('Hoja de trabajo'!E188:E189)-SUM('Hoja de trabajo'!D188:D189)</f>
        <v>0</v>
      </c>
    </row>
    <row r="13" spans="1:8" s="447" customFormat="1" ht="15" customHeight="1">
      <c r="A13" s="444" t="s">
        <v>99</v>
      </c>
      <c r="B13" s="186" t="s">
        <v>341</v>
      </c>
      <c r="C13" s="186"/>
      <c r="D13" s="448">
        <f>SUM(D14:D16)</f>
        <v>0</v>
      </c>
      <c r="E13" s="448">
        <f>SUM(E14:E16)</f>
        <v>0</v>
      </c>
      <c r="F13" s="448">
        <f>SUM(F14:F16)</f>
        <v>0</v>
      </c>
      <c r="G13" s="448">
        <f>SUM(G14:G16)</f>
        <v>0</v>
      </c>
      <c r="H13" s="449">
        <f>SUM(H14:H16)</f>
        <v>0</v>
      </c>
    </row>
    <row r="14" spans="1:8" s="440" customFormat="1" ht="15" customHeight="1">
      <c r="A14" s="437"/>
      <c r="B14" s="438" t="s">
        <v>99</v>
      </c>
      <c r="C14" s="173" t="s">
        <v>334</v>
      </c>
      <c r="D14" s="438">
        <f>'Hoja de trabajo'!E26-'Hoja de trabajo'!D26</f>
        <v>0</v>
      </c>
      <c r="E14" s="438">
        <f>'Hoja de trabajo'!E70-'Hoja de trabajo'!D70</f>
        <v>0</v>
      </c>
      <c r="F14" s="438">
        <f>'Hoja de trabajo'!E114-'Hoja de trabajo'!D114</f>
        <v>0</v>
      </c>
      <c r="G14" s="438">
        <f>'Hoja de trabajo'!E158-'Hoja de trabajo'!D158</f>
        <v>0</v>
      </c>
      <c r="H14" s="439">
        <f>'Hoja de trabajo'!E202-'Hoja de trabajo'!D202</f>
        <v>0</v>
      </c>
    </row>
    <row r="15" spans="1:8" s="440" customFormat="1" ht="15" customHeight="1">
      <c r="A15" s="437"/>
      <c r="B15" s="438" t="s">
        <v>99</v>
      </c>
      <c r="C15" s="173" t="s">
        <v>100</v>
      </c>
      <c r="D15" s="438">
        <f>SUM('Hoja de trabajo'!E28:E29)-SUM('Hoja de trabajo'!D28:D29)</f>
        <v>0</v>
      </c>
      <c r="E15" s="438">
        <f>SUM('Hoja de trabajo'!E72:E73)-SUM('Hoja de trabajo'!D72:D73)</f>
        <v>0</v>
      </c>
      <c r="F15" s="438">
        <f>SUM('Hoja de trabajo'!E116:E117)-SUM('Hoja de trabajo'!D116:D117)</f>
        <v>0</v>
      </c>
      <c r="G15" s="438">
        <f>SUM('Hoja de trabajo'!E160:E161)-SUM('Hoja de trabajo'!D160:D161)</f>
        <v>0</v>
      </c>
      <c r="H15" s="439">
        <f>SUM('Hoja de trabajo'!E204:E205)-SUM('Hoja de trabajo'!D204:D205)</f>
        <v>0</v>
      </c>
    </row>
    <row r="16" spans="1:8" s="440" customFormat="1" ht="15" customHeight="1">
      <c r="A16" s="437"/>
      <c r="B16" s="438" t="s">
        <v>99</v>
      </c>
      <c r="C16" s="173" t="s">
        <v>342</v>
      </c>
      <c r="D16" s="438">
        <f>'Hoja de trabajo'!E30-'Hoja de trabajo'!D30</f>
        <v>0</v>
      </c>
      <c r="E16" s="438">
        <f>'Hoja de trabajo'!E74-'Hoja de trabajo'!D74</f>
        <v>0</v>
      </c>
      <c r="F16" s="438">
        <f>'Hoja de trabajo'!E118-'Hoja de trabajo'!D118</f>
        <v>0</v>
      </c>
      <c r="G16" s="438">
        <f>'Hoja de trabajo'!E162-'Hoja de trabajo'!D162</f>
        <v>0</v>
      </c>
      <c r="H16" s="439">
        <f>'Hoja de trabajo'!E206-'Hoja de trabajo'!D206</f>
        <v>0</v>
      </c>
    </row>
    <row r="17" spans="1:13" s="440" customFormat="1" ht="24" customHeight="1">
      <c r="A17" s="441" t="s">
        <v>343</v>
      </c>
      <c r="B17" s="438"/>
      <c r="C17" s="173"/>
      <c r="D17" s="442">
        <f>SUM(D18:D19)</f>
        <v>0</v>
      </c>
      <c r="E17" s="442">
        <f>SUM(E18:E19)</f>
        <v>0</v>
      </c>
      <c r="F17" s="442">
        <f>SUM(F18:F19)</f>
        <v>0</v>
      </c>
      <c r="G17" s="442">
        <f>SUM(G18:G19)</f>
        <v>0</v>
      </c>
      <c r="H17" s="443">
        <f>SUM(H18:H19)</f>
        <v>0</v>
      </c>
    </row>
    <row r="18" spans="1:13" s="440" customFormat="1" ht="15">
      <c r="A18" s="437"/>
      <c r="B18" s="438" t="s">
        <v>2</v>
      </c>
      <c r="C18" s="173" t="s">
        <v>85</v>
      </c>
      <c r="D18" s="438">
        <f>-D7</f>
        <v>0</v>
      </c>
      <c r="E18" s="438">
        <f>-E7</f>
        <v>0</v>
      </c>
      <c r="F18" s="438">
        <f>-F7</f>
        <v>0</v>
      </c>
      <c r="G18" s="438">
        <f>-G7</f>
        <v>0</v>
      </c>
      <c r="H18" s="439">
        <f>-H7</f>
        <v>0</v>
      </c>
    </row>
    <row r="19" spans="1:13" s="440" customFormat="1" ht="15">
      <c r="A19" s="437"/>
      <c r="B19" s="438" t="s">
        <v>98</v>
      </c>
      <c r="C19" s="173" t="s">
        <v>344</v>
      </c>
      <c r="D19" s="438">
        <f>Resultados!D23</f>
        <v>0</v>
      </c>
      <c r="E19" s="438">
        <f>Resultados!G23</f>
        <v>0</v>
      </c>
      <c r="F19" s="438">
        <f>Resultados!J23</f>
        <v>0</v>
      </c>
      <c r="G19" s="438">
        <f>Resultados!M23</f>
        <v>0</v>
      </c>
      <c r="H19" s="439">
        <f>Resultados!P23</f>
        <v>0</v>
      </c>
    </row>
    <row r="20" spans="1:13" s="432" customFormat="1" ht="24.75" customHeight="1">
      <c r="A20" s="450" t="s">
        <v>43</v>
      </c>
      <c r="B20" s="451" t="s">
        <v>345</v>
      </c>
      <c r="C20" s="451"/>
      <c r="D20" s="452">
        <f>D2+D3+D8+D17</f>
        <v>0</v>
      </c>
      <c r="E20" s="452">
        <f>E2+E3+E8+E17</f>
        <v>0</v>
      </c>
      <c r="F20" s="452">
        <f>F2+F3+F8+F17</f>
        <v>0</v>
      </c>
      <c r="G20" s="452">
        <f>G2+G3+G8+G17</f>
        <v>0</v>
      </c>
      <c r="H20" s="453">
        <f>H2+H3+H8+H17</f>
        <v>0</v>
      </c>
      <c r="I20" s="440"/>
      <c r="J20" s="440"/>
      <c r="K20" s="440"/>
      <c r="L20" s="440"/>
      <c r="M20" s="440"/>
    </row>
    <row r="21" spans="1:13" s="440" customFormat="1" ht="15">
      <c r="A21" s="437" t="s">
        <v>41</v>
      </c>
      <c r="B21" s="173" t="s">
        <v>347</v>
      </c>
      <c r="C21" s="173"/>
      <c r="D21" s="438">
        <f>'Hoja de trabajo'!O6+'Hoja de trabajo'!O8</f>
        <v>0</v>
      </c>
      <c r="E21" s="438">
        <f>'Hoja de trabajo'!O50+'Hoja de trabajo'!O52</f>
        <v>0</v>
      </c>
      <c r="F21" s="438">
        <f>'Hoja de trabajo'!O94+'Hoja de trabajo'!O96</f>
        <v>0</v>
      </c>
      <c r="G21" s="438">
        <f>'Hoja de trabajo'!O138+'Hoja de trabajo'!O140</f>
        <v>0</v>
      </c>
      <c r="H21" s="439">
        <f>'Hoja de trabajo'!O182+'Hoja de trabajo'!O184</f>
        <v>0</v>
      </c>
    </row>
    <row r="22" spans="1:13" s="440" customFormat="1" ht="15">
      <c r="A22" s="437" t="s">
        <v>2</v>
      </c>
      <c r="B22" s="173" t="s">
        <v>346</v>
      </c>
      <c r="C22" s="173"/>
      <c r="D22" s="438">
        <f>-'Hoja de trabajo'!N6-'Hoja de trabajo'!N8</f>
        <v>0</v>
      </c>
      <c r="E22" s="438">
        <f>-'Hoja de trabajo'!N50-'Hoja de trabajo'!N52</f>
        <v>0</v>
      </c>
      <c r="F22" s="438">
        <f>-'Hoja de trabajo'!N94-'Hoja de trabajo'!N96</f>
        <v>0</v>
      </c>
      <c r="G22" s="438">
        <f>-'Hoja de trabajo'!N138-'Hoja de trabajo'!N140</f>
        <v>0</v>
      </c>
      <c r="H22" s="439">
        <f>-'Hoja de trabajo'!N182-'Hoja de trabajo'!N184</f>
        <v>0</v>
      </c>
    </row>
    <row r="23" spans="1:13" s="432" customFormat="1" ht="24.75" customHeight="1">
      <c r="A23" s="450" t="s">
        <v>43</v>
      </c>
      <c r="B23" s="451" t="s">
        <v>348</v>
      </c>
      <c r="C23" s="451"/>
      <c r="D23" s="452">
        <f>SUM(D21:D22)</f>
        <v>0</v>
      </c>
      <c r="E23" s="452">
        <f>SUM(E21:E22)</f>
        <v>0</v>
      </c>
      <c r="F23" s="452">
        <f>SUM(F21:F22)</f>
        <v>0</v>
      </c>
      <c r="G23" s="452">
        <f>SUM(G21:G22)</f>
        <v>0</v>
      </c>
      <c r="H23" s="453">
        <f>SUM(H21:H22)</f>
        <v>0</v>
      </c>
    </row>
    <row r="24" spans="1:13" s="440" customFormat="1" ht="15">
      <c r="A24" s="437" t="s">
        <v>124</v>
      </c>
      <c r="B24" s="210" t="s">
        <v>90</v>
      </c>
      <c r="C24" s="173"/>
      <c r="D24" s="438">
        <f>Tesorería!C17+Tesorería!C18</f>
        <v>0</v>
      </c>
      <c r="E24" s="438">
        <f>Tesorería!D17+Tesorería!D18</f>
        <v>0</v>
      </c>
      <c r="F24" s="438">
        <f>SUM(Tesorería!E17:E18)</f>
        <v>0</v>
      </c>
      <c r="G24" s="438">
        <f>SUM(Tesorería!F17:F18)</f>
        <v>0</v>
      </c>
      <c r="H24" s="439">
        <f>SUM(Tesorería!G17:G18)</f>
        <v>0</v>
      </c>
    </row>
    <row r="25" spans="1:13" s="440" customFormat="1" ht="15">
      <c r="A25" s="437" t="s">
        <v>99</v>
      </c>
      <c r="B25" s="210" t="s">
        <v>469</v>
      </c>
      <c r="C25" s="173"/>
      <c r="D25" s="438">
        <f>Tesorería!C19</f>
        <v>0</v>
      </c>
      <c r="E25" s="438">
        <f>Tesorería!D19</f>
        <v>0</v>
      </c>
      <c r="F25" s="438">
        <f>Tesorería!E19</f>
        <v>0</v>
      </c>
      <c r="G25" s="438">
        <f>Tesorería!F19</f>
        <v>0</v>
      </c>
      <c r="H25" s="439">
        <f>Tesorería!G19</f>
        <v>0</v>
      </c>
    </row>
    <row r="26" spans="1:13" s="440" customFormat="1" ht="15">
      <c r="A26" s="437" t="s">
        <v>124</v>
      </c>
      <c r="B26" s="210" t="s">
        <v>322</v>
      </c>
      <c r="C26" s="173"/>
      <c r="D26" s="438">
        <f>Tesorería!C20</f>
        <v>0</v>
      </c>
      <c r="E26" s="438">
        <f>Tesorería!D20</f>
        <v>0</v>
      </c>
      <c r="F26" s="438">
        <f>Tesorería!E20</f>
        <v>0</v>
      </c>
      <c r="G26" s="438">
        <f>Tesorería!F20</f>
        <v>0</v>
      </c>
      <c r="H26" s="439">
        <f>Tesorería!G20</f>
        <v>0</v>
      </c>
    </row>
    <row r="27" spans="1:13" s="440" customFormat="1" ht="15">
      <c r="A27" s="437" t="s">
        <v>124</v>
      </c>
      <c r="B27" s="210" t="s">
        <v>91</v>
      </c>
      <c r="C27" s="173"/>
      <c r="D27" s="438">
        <f>Tesorería!C21</f>
        <v>0</v>
      </c>
      <c r="E27" s="438">
        <f>Tesorería!D21</f>
        <v>0</v>
      </c>
      <c r="F27" s="438">
        <f>Tesorería!E21</f>
        <v>0</v>
      </c>
      <c r="G27" s="438">
        <f>Tesorería!F21</f>
        <v>0</v>
      </c>
      <c r="H27" s="439">
        <f>Tesorería!G21</f>
        <v>0</v>
      </c>
    </row>
    <row r="28" spans="1:13" s="440" customFormat="1" ht="15">
      <c r="A28" s="437" t="s">
        <v>2</v>
      </c>
      <c r="B28" s="210" t="s">
        <v>349</v>
      </c>
      <c r="C28" s="173"/>
      <c r="D28" s="438">
        <f>SUM(Tesorería!C23:C24)+'Hoja de trabajo'!$M$25-'Hoja de trabajo'!$L$25+'Hoja de trabajo'!$M$30-'Hoja de trabajo'!$L$30</f>
        <v>0</v>
      </c>
      <c r="E28" s="438">
        <f>SUM(Tesorería!D23:D24)+'Hoja de trabajo'!$M$69-'Hoja de trabajo'!$L$69+'Hoja de trabajo'!$M$74-'Hoja de trabajo'!$L$74</f>
        <v>0</v>
      </c>
      <c r="F28" s="438">
        <f>SUM(Tesorería!E23:E24)+'Hoja de trabajo'!$M$113-'Hoja de trabajo'!$L$113+'Hoja de trabajo'!$M$118-'Hoja de trabajo'!$L$118</f>
        <v>0</v>
      </c>
      <c r="G28" s="438">
        <f>SUM(Tesorería!F23:F24)+'Hoja de trabajo'!$M$157-'Hoja de trabajo'!$L$157+'Hoja de trabajo'!$M$162-'Hoja de trabajo'!$L$162</f>
        <v>0</v>
      </c>
      <c r="H28" s="439">
        <f>SUM(Tesorería!G23:G24)+'Hoja de trabajo'!$M$206-'Hoja de trabajo'!$L$206+'Hoja de trabajo'!$M$201-'Hoja de trabajo'!$L$201</f>
        <v>0</v>
      </c>
    </row>
    <row r="29" spans="1:13" s="440" customFormat="1" ht="15">
      <c r="A29" s="437" t="s">
        <v>2</v>
      </c>
      <c r="B29" s="210" t="s">
        <v>92</v>
      </c>
      <c r="C29" s="173"/>
      <c r="D29" s="438">
        <f>Tesorería!C22</f>
        <v>0</v>
      </c>
      <c r="E29" s="438">
        <f>Tesorería!D22</f>
        <v>0</v>
      </c>
      <c r="F29" s="438">
        <f>Tesorería!E22</f>
        <v>0</v>
      </c>
      <c r="G29" s="438">
        <f>Tesorería!F22</f>
        <v>0</v>
      </c>
      <c r="H29" s="439">
        <f>Tesorería!G22</f>
        <v>0</v>
      </c>
    </row>
    <row r="30" spans="1:13" s="440" customFormat="1" ht="25.5" customHeight="1" thickBot="1">
      <c r="A30" s="601" t="s">
        <v>43</v>
      </c>
      <c r="B30" s="602" t="s">
        <v>350</v>
      </c>
      <c r="C30" s="602"/>
      <c r="D30" s="603">
        <f>SUM(D24:D29)</f>
        <v>0</v>
      </c>
      <c r="E30" s="603">
        <f>SUM(E24:E29)</f>
        <v>0</v>
      </c>
      <c r="F30" s="603">
        <f>SUM(F24:F29)</f>
        <v>0</v>
      </c>
      <c r="G30" s="603">
        <f>SUM(G24:G29)</f>
        <v>0</v>
      </c>
      <c r="H30" s="604">
        <f>SUM(H24:H29)</f>
        <v>0</v>
      </c>
    </row>
    <row r="31" spans="1:13" s="432" customFormat="1" ht="29.25" customHeight="1" thickBot="1">
      <c r="A31" s="454" t="s">
        <v>43</v>
      </c>
      <c r="B31" s="455" t="s">
        <v>351</v>
      </c>
      <c r="C31" s="455"/>
      <c r="D31" s="456">
        <f>D20+D23+D30</f>
        <v>0</v>
      </c>
      <c r="E31" s="456">
        <f>E20+E23+E30</f>
        <v>0</v>
      </c>
      <c r="F31" s="456">
        <f>F20+F23+F30</f>
        <v>0</v>
      </c>
      <c r="G31" s="456">
        <f>G20+G23+G30</f>
        <v>0</v>
      </c>
      <c r="H31" s="457">
        <f>H20+H23+H30</f>
        <v>0</v>
      </c>
    </row>
    <row r="32" spans="1:13" s="440" customFormat="1" ht="24.75" customHeight="1">
      <c r="A32" s="458" t="s">
        <v>99</v>
      </c>
      <c r="B32" s="183" t="s">
        <v>101</v>
      </c>
      <c r="C32" s="183"/>
      <c r="D32" s="459">
        <f>'Hoja de trabajo'!C14</f>
        <v>0</v>
      </c>
      <c r="E32" s="459">
        <f>D33</f>
        <v>0</v>
      </c>
      <c r="F32" s="459">
        <f>E33</f>
        <v>0</v>
      </c>
      <c r="G32" s="459">
        <f>F33</f>
        <v>0</v>
      </c>
      <c r="H32" s="460">
        <f>G33</f>
        <v>0</v>
      </c>
    </row>
    <row r="33" spans="1:13" s="432" customFormat="1" ht="24.75" customHeight="1" thickBot="1">
      <c r="A33" s="461" t="s">
        <v>43</v>
      </c>
      <c r="B33" s="462" t="s">
        <v>335</v>
      </c>
      <c r="C33" s="462"/>
      <c r="D33" s="463">
        <f>SUM(D31:D32)</f>
        <v>0</v>
      </c>
      <c r="E33" s="463">
        <f>SUM(E31:E32)</f>
        <v>0</v>
      </c>
      <c r="F33" s="463">
        <f>SUM(F31:F32)</f>
        <v>0</v>
      </c>
      <c r="G33" s="463">
        <f>SUM(G31:G32)</f>
        <v>0</v>
      </c>
      <c r="H33" s="464">
        <f>SUM(H31:H32)</f>
        <v>0</v>
      </c>
      <c r="I33" s="465">
        <f>D33-Tesorería!C28</f>
        <v>0</v>
      </c>
      <c r="J33" s="465">
        <f>E33-Tesorería!D28</f>
        <v>0</v>
      </c>
      <c r="K33" s="465">
        <f>F33-Tesorería!E28</f>
        <v>0</v>
      </c>
      <c r="L33" s="465">
        <f>G33-Tesorería!F28</f>
        <v>0</v>
      </c>
      <c r="M33" s="465">
        <f>H33-Tesorería!G28</f>
        <v>0</v>
      </c>
    </row>
  </sheetData>
  <sheetProtection formatColumns="0"/>
  <mergeCells count="1">
    <mergeCell ref="A1:C1"/>
  </mergeCells>
  <phoneticPr fontId="0" type="noConversion"/>
  <printOptions horizontalCentered="1" gridLinesSet="0"/>
  <pageMargins left="0.68" right="0.74" top="0.6692913385826772" bottom="0.57999999999999996" header="0.35433070866141736" footer="0.28999999999999998"/>
  <pageSetup paperSize="9" scale="86" orientation="landscape" horizontalDpi="4294967292" r:id="rId1"/>
  <headerFooter alignWithMargins="0">
    <oddHeader>&amp;C&amp;"Trebuchet MS,Normal"&amp;14&amp;U&amp;A</oddHeader>
    <oddFooter>&amp;CPágina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.75"/>
  <sheetData/>
  <phoneticPr fontId="47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pageSetUpPr autoPageBreaks="0"/>
  </sheetPr>
  <dimension ref="A1:O36"/>
  <sheetViews>
    <sheetView showGridLines="0" showZeros="0" zoomScale="90" zoomScaleNormal="90" workbookViewId="0">
      <selection activeCell="A3" sqref="A3"/>
    </sheetView>
  </sheetViews>
  <sheetFormatPr baseColWidth="10" defaultColWidth="0" defaultRowHeight="15"/>
  <cols>
    <col min="1" max="1" width="42.125" style="502" customWidth="1"/>
    <col min="2" max="6" width="12.625" style="870" customWidth="1"/>
    <col min="7" max="7" width="6.875" style="502" bestFit="1" customWidth="1"/>
    <col min="8" max="11" width="6" style="502" bestFit="1" customWidth="1"/>
    <col min="12" max="14" width="11" style="502" customWidth="1"/>
    <col min="15" max="16384" width="0" style="502" hidden="1"/>
  </cols>
  <sheetData>
    <row r="1" spans="1:15" ht="37.5" customHeight="1"/>
    <row r="2" spans="1:15" s="479" customFormat="1" ht="33" customHeight="1" thickBot="1">
      <c r="A2" s="511" t="s">
        <v>352</v>
      </c>
      <c r="B2" s="512" t="s">
        <v>60</v>
      </c>
      <c r="C2" s="512" t="s">
        <v>61</v>
      </c>
      <c r="D2" s="512" t="s">
        <v>62</v>
      </c>
      <c r="E2" s="512" t="s">
        <v>176</v>
      </c>
      <c r="F2" s="512" t="s">
        <v>177</v>
      </c>
      <c r="G2" s="513"/>
      <c r="H2" s="513"/>
      <c r="I2" s="513"/>
      <c r="J2" s="513"/>
      <c r="K2" s="513"/>
      <c r="L2" s="513"/>
      <c r="M2" s="513"/>
    </row>
    <row r="3" spans="1:15" s="499" customFormat="1" ht="33" customHeight="1">
      <c r="A3" s="510" t="s">
        <v>353</v>
      </c>
      <c r="B3" s="529"/>
      <c r="C3" s="529"/>
      <c r="D3" s="529"/>
      <c r="E3" s="529"/>
      <c r="F3" s="529"/>
    </row>
    <row r="4" spans="1:15" ht="25.5" customHeight="1">
      <c r="A4" s="500" t="s">
        <v>354</v>
      </c>
      <c r="B4" s="783"/>
      <c r="C4" s="783">
        <f>IF(Ventas!C22&gt;0,(Ventas!D22-Ventas!C22)/Ventas!C22,0)</f>
        <v>0</v>
      </c>
      <c r="D4" s="783">
        <f>IF(Ventas!D22&gt;0,(Ventas!E22-Ventas!D22)/Ventas!D22,0)</f>
        <v>0</v>
      </c>
      <c r="E4" s="783">
        <f>IF(Ventas!E22&gt;0,(Ventas!F22-Ventas!E22)/Ventas!E22,0)</f>
        <v>0</v>
      </c>
      <c r="F4" s="783">
        <f>IF(Ventas!F22&gt;0,(Ventas!G22-Ventas!F22)/Ventas!F22,0)</f>
        <v>0</v>
      </c>
    </row>
    <row r="5" spans="1:15" ht="25.5" customHeight="1">
      <c r="A5" s="500" t="s">
        <v>368</v>
      </c>
      <c r="B5" s="503">
        <f>IF('G. Personal'!G13&gt;0,Resultados!D4/-Resultados!D17,0)</f>
        <v>0</v>
      </c>
      <c r="C5" s="503">
        <f>IF('G. Personal'!N13&gt;0,Resultados!G4/-Resultados!G17,0)</f>
        <v>0</v>
      </c>
      <c r="D5" s="503">
        <f>IF('G. Personal'!U13&gt;0,Resultados!J4/-Resultados!J17,0)</f>
        <v>0</v>
      </c>
      <c r="E5" s="503">
        <f>IF('G. Personal'!AB13&gt;0,Resultados!M4/-Resultados!M17,0)</f>
        <v>0</v>
      </c>
      <c r="F5" s="503">
        <f>IF('G. Personal'!AI13&gt;0,Resultados!P4/-Resultados!P17,0)</f>
        <v>0</v>
      </c>
    </row>
    <row r="6" spans="1:15" ht="25.5" customHeight="1">
      <c r="A6" s="500" t="s">
        <v>355</v>
      </c>
      <c r="B6" s="783"/>
      <c r="C6" s="783">
        <f>IF(Resultados!D16&gt;0,(Resultados!G16-Resultados!D16)/Resultados!D16,0)</f>
        <v>0</v>
      </c>
      <c r="D6" s="783">
        <f>IF(Resultados!G16&gt;0,(Resultados!J16-Resultados!G16)/Resultados!G16,0)</f>
        <v>0</v>
      </c>
      <c r="E6" s="783">
        <f>IF(Resultados!J16&gt;0,(Resultados!M16-Resultados!J16)/Resultados!J16,0)</f>
        <v>0</v>
      </c>
      <c r="F6" s="783">
        <f>IF(Resultados!M16&gt;0,(Resultados!P16-Resultados!M16)/Resultados!M16,0)</f>
        <v>0</v>
      </c>
      <c r="G6" s="501"/>
      <c r="K6" s="501"/>
      <c r="O6" s="501"/>
    </row>
    <row r="7" spans="1:15" s="499" customFormat="1" ht="33" customHeight="1">
      <c r="A7" s="509" t="s">
        <v>364</v>
      </c>
      <c r="B7" s="871"/>
      <c r="C7" s="871"/>
      <c r="D7" s="871"/>
      <c r="E7" s="871"/>
      <c r="F7" s="871"/>
    </row>
    <row r="8" spans="1:15" ht="25.5" customHeight="1">
      <c r="A8" s="500" t="s">
        <v>381</v>
      </c>
      <c r="B8" s="783">
        <f>IF(Balances!$F$15&lt;&gt;0,Resultados!$D$20/Balances!$F$15,0)</f>
        <v>0</v>
      </c>
      <c r="C8" s="783">
        <f>IF(Balances!$H$15&lt;&gt;0,Resultados!$G$20/Balances!$H$15,0)</f>
        <v>0</v>
      </c>
      <c r="D8" s="783">
        <f>IF(Balances!$J$15&lt;&gt;0,Resultados!$J$20/Balances!$J$15,0)</f>
        <v>0</v>
      </c>
      <c r="E8" s="783">
        <f>IF(Balances!$L$15&lt;&gt;0,Resultados!$M$20/Balances!$L$15,0)</f>
        <v>0</v>
      </c>
      <c r="F8" s="783">
        <f>IF(Balances!$N$15&lt;&gt;0,Resultados!$P$20/Balances!$N$15,0)</f>
        <v>0</v>
      </c>
      <c r="G8" s="505"/>
      <c r="H8" s="505"/>
      <c r="I8" s="505"/>
      <c r="J8" s="505"/>
      <c r="K8" s="505"/>
    </row>
    <row r="9" spans="1:15" ht="25.5" customHeight="1">
      <c r="A9" s="500" t="s">
        <v>382</v>
      </c>
      <c r="B9" s="503">
        <f>IF(Balances!$F$15&lt;&gt;0,Resultados!$D$4/Balances!$F$15,0)</f>
        <v>0</v>
      </c>
      <c r="C9" s="503">
        <f>IF(Balances!$H$15&lt;&gt;0,Resultados!$G$4/Balances!$H$15,0)</f>
        <v>0</v>
      </c>
      <c r="D9" s="503">
        <f>IF(Balances!$J$15&lt;&gt;0,Resultados!$J$4/Balances!$J$15,0)</f>
        <v>0</v>
      </c>
      <c r="E9" s="503">
        <f>IF(Balances!$L$15&lt;&gt;0,Resultados!$M$4/Balances!$L$15,0)</f>
        <v>0</v>
      </c>
      <c r="F9" s="503">
        <f>IF(Balances!$N$15&lt;&gt;0,Resultados!$P$4/Balances!$N$15,0)</f>
        <v>0</v>
      </c>
      <c r="G9" s="506"/>
      <c r="H9" s="506"/>
    </row>
    <row r="10" spans="1:15" ht="25.5" customHeight="1">
      <c r="A10" s="500" t="s">
        <v>383</v>
      </c>
      <c r="B10" s="783">
        <f>IF(Resultados!$E$20&lt;&gt;0,Resultados!$E$20,0)</f>
        <v>0</v>
      </c>
      <c r="C10" s="783">
        <f>IF(Resultados!$H$20&lt;&gt;0,Resultados!$H$20,0)</f>
        <v>0</v>
      </c>
      <c r="D10" s="783">
        <f>IF(Resultados!$K$20&lt;&gt;0,Resultados!$K$20,0)</f>
        <v>0</v>
      </c>
      <c r="E10" s="783">
        <f>IF(Resultados!$N$20&lt;&gt;0,Resultados!$N$20,0)</f>
        <v>0</v>
      </c>
      <c r="F10" s="783">
        <f>IF(Resultados!$Q$20&lt;&gt;0,Resultados!$Q$20,0)</f>
        <v>0</v>
      </c>
    </row>
    <row r="11" spans="1:15" ht="25.5" customHeight="1">
      <c r="A11" s="500" t="s">
        <v>384</v>
      </c>
      <c r="B11" s="783">
        <f>IF(Balances!$F$16&lt;&gt;0,Resultados!$D$22/Balances!$F$16,0)</f>
        <v>0</v>
      </c>
      <c r="C11" s="783">
        <f>IF(Balances!$H$16&lt;&gt;0,Resultados!$G$22/Balances!$H$16,0)</f>
        <v>0</v>
      </c>
      <c r="D11" s="783">
        <f>IF(Balances!$J$16&lt;&gt;0,Resultados!$J$22/Balances!$J$16,0)</f>
        <v>0</v>
      </c>
      <c r="E11" s="783">
        <f>IF(Balances!$L$16&lt;&gt;0,Resultados!$M$22/Balances!$L$16,0)</f>
        <v>0</v>
      </c>
      <c r="F11" s="783">
        <f>IF(Balances!$N$16&lt;&gt;0,Resultados!$P$22/Balances!$N$16,0)</f>
        <v>0</v>
      </c>
    </row>
    <row r="12" spans="1:15" ht="25.5" customHeight="1">
      <c r="A12" s="500" t="s">
        <v>360</v>
      </c>
      <c r="B12" s="783">
        <f>IF((Balances!$F$24+Balances!$F$27)&lt;&gt;0,-Resultados!$D$21/(Balances!$F$24+Balances!$F$27),0)</f>
        <v>0</v>
      </c>
      <c r="C12" s="783">
        <f>IF((Balances!$H$24+Balances!$H$27)&lt;&gt;0,-Resultados!$G$21/(Balances!$H$24+Balances!$H$27),0)</f>
        <v>0</v>
      </c>
      <c r="D12" s="783">
        <f>IF((Balances!$J$24+Balances!$J$27)&lt;&gt;0,-Resultados!$J$21/(Balances!$J$24+Balances!$J$27),0)</f>
        <v>0</v>
      </c>
      <c r="E12" s="783">
        <f>IF((Balances!$L$24+Balances!$L$27)&lt;&gt;0,-Resultados!$M$21/(Balances!$L$24+Balances!$L$27),0)</f>
        <v>0</v>
      </c>
      <c r="F12" s="783">
        <f>IF((Balances!$N$24+Balances!$N$27)&lt;&gt;0,-Resultados!$P$21/(Balances!$N$24+Balances!$N$27),0)</f>
        <v>0</v>
      </c>
    </row>
    <row r="13" spans="1:15" s="499" customFormat="1" ht="33" customHeight="1">
      <c r="A13" s="509" t="s">
        <v>365</v>
      </c>
      <c r="B13" s="871"/>
      <c r="C13" s="871"/>
      <c r="D13" s="871"/>
      <c r="E13" s="871"/>
      <c r="F13" s="871"/>
    </row>
    <row r="14" spans="1:15" ht="25.5" customHeight="1">
      <c r="A14" s="500" t="s">
        <v>356</v>
      </c>
      <c r="B14" s="783">
        <f>IF(Balances!$F$15&lt;&gt;0,(Resultados!D24-Resultados!D21)/Balances!$F$15,0)</f>
        <v>0</v>
      </c>
      <c r="C14" s="783">
        <f>IF(Balances!$H$15&lt;&gt;0,(Resultados!G24-Resultados!G21)/Balances!$H$15,0)</f>
        <v>0</v>
      </c>
      <c r="D14" s="783">
        <f>IF(Balances!$J$15&lt;&gt;0,(Resultados!J24-Resultados!J21)/Balances!$J$15,0)</f>
        <v>0</v>
      </c>
      <c r="E14" s="783">
        <f>IF(Balances!$L$15&lt;&gt;0,(Resultados!M24-Resultados!M21)/Balances!$L$15,0)</f>
        <v>0</v>
      </c>
      <c r="F14" s="783">
        <f>IF(Balances!$N$15&lt;&gt;0,(Resultados!P24-Resultados!P21)/Balances!$N$15,0)</f>
        <v>0</v>
      </c>
    </row>
    <row r="15" spans="1:15" ht="25.5" customHeight="1">
      <c r="A15" s="500" t="s">
        <v>357</v>
      </c>
      <c r="B15" s="503">
        <f>IF(Balances!$F$15&lt;&gt;0,Resultados!$D$4/Balances!$F$15,0)</f>
        <v>0</v>
      </c>
      <c r="C15" s="503">
        <f>IF(Balances!$H$15&lt;&gt;0,Resultados!$G$4/Balances!$H$15,0)</f>
        <v>0</v>
      </c>
      <c r="D15" s="503">
        <f>IF(Balances!$J$15&lt;&gt;0,Resultados!$J$4/Balances!$J$15,0)</f>
        <v>0</v>
      </c>
      <c r="E15" s="503">
        <f>IF(Balances!$L$15&lt;&gt;0,Resultados!$M$4/Balances!$L$15,0)</f>
        <v>0</v>
      </c>
      <c r="F15" s="503">
        <f>IF(Balances!$N$15&lt;&gt;0,Resultados!$P$4/Balances!$N$15,0)</f>
        <v>0</v>
      </c>
      <c r="G15" s="506"/>
      <c r="H15" s="506"/>
    </row>
    <row r="16" spans="1:15" ht="25.5" customHeight="1">
      <c r="A16" s="500" t="s">
        <v>358</v>
      </c>
      <c r="B16" s="783">
        <f>IF(Resultados!$E$20&lt;&gt;0,Resultados!E24-Resultados!E21,0)</f>
        <v>0</v>
      </c>
      <c r="C16" s="783">
        <f>IF(Resultados!$H$20&lt;&gt;0,Resultados!H24-Resultados!H21,0)</f>
        <v>0</v>
      </c>
      <c r="D16" s="783">
        <f>IF(Resultados!$K$20&lt;&gt;0,Resultados!K24-Resultados!K21,0)</f>
        <v>0</v>
      </c>
      <c r="E16" s="783">
        <f>IF(Resultados!$N$20&lt;&gt;0,Resultados!N24-Resultados!N21,0)</f>
        <v>0</v>
      </c>
      <c r="F16" s="783">
        <f>IF(Resultados!$Q$20&lt;&gt;0,Resultados!Q24-Resultados!Q21,0)</f>
        <v>0</v>
      </c>
    </row>
    <row r="17" spans="1:6" ht="25.5" customHeight="1">
      <c r="A17" s="500" t="s">
        <v>359</v>
      </c>
      <c r="B17" s="783">
        <f>IF(Balances!$F$16&lt;&gt;0,Resultados!$D$24/Balances!$F$16,0)</f>
        <v>0</v>
      </c>
      <c r="C17" s="783">
        <f>IF(Balances!$H$16&lt;&gt;0,Resultados!$G$24/Balances!$H$16,0)</f>
        <v>0</v>
      </c>
      <c r="D17" s="783">
        <f>IF(Balances!$J$16&lt;&gt;0,Resultados!$J$24/Balances!$J$16,0)</f>
        <v>0</v>
      </c>
      <c r="E17" s="783">
        <f>IF(Balances!$L$16&lt;&gt;0,Resultados!$M$24/Balances!$L$16,0)</f>
        <v>0</v>
      </c>
      <c r="F17" s="783">
        <f>IF(Balances!$N$16&lt;&gt;0,Resultados!$P$24/Balances!$N$16,0)</f>
        <v>0</v>
      </c>
    </row>
    <row r="18" spans="1:6" ht="25.5" customHeight="1">
      <c r="A18" s="500" t="s">
        <v>360</v>
      </c>
      <c r="B18" s="783">
        <f>IF((Balances!$F$24+Balances!$F$27)&lt;&gt;0,-Resultados!$D$21/(Balances!$F$24+Balances!$F$27),0)</f>
        <v>0</v>
      </c>
      <c r="C18" s="783">
        <f>IF((Balances!$H$24+Balances!$H$27)&lt;&gt;0,-Resultados!$G$21/(Balances!$H$24+Balances!$H$27),0)</f>
        <v>0</v>
      </c>
      <c r="D18" s="783">
        <f>IF((Balances!$J$24+Balances!$J$27)&lt;&gt;0,-Resultados!$J$21/(Balances!$J$24+Balances!$J$27),0)</f>
        <v>0</v>
      </c>
      <c r="E18" s="783">
        <f>IF((Balances!$L$24+Balances!$L$27)&lt;&gt;0,-Resultados!$M$21/(Balances!$L$24+Balances!$L$27),0)</f>
        <v>0</v>
      </c>
      <c r="F18" s="783">
        <f>IF((Balances!$N$24+Balances!$N$27)&lt;&gt;0,-Resultados!$P$21/(Balances!$N$24+Balances!$N$27),0)</f>
        <v>0</v>
      </c>
    </row>
    <row r="19" spans="1:6" s="499" customFormat="1" ht="33" customHeight="1">
      <c r="A19" s="509" t="s">
        <v>369</v>
      </c>
      <c r="B19" s="871"/>
      <c r="C19" s="871"/>
      <c r="D19" s="871"/>
      <c r="E19" s="871"/>
      <c r="F19" s="871"/>
    </row>
    <row r="20" spans="1:6" ht="25.5" customHeight="1">
      <c r="A20" s="500" t="s">
        <v>373</v>
      </c>
      <c r="B20" s="507">
        <f>IF(Resultados!$D$4&lt;&gt;0,(Balances!F36/Resultados!$D$4)*365,0)</f>
        <v>0</v>
      </c>
      <c r="C20" s="507">
        <f>IF(Resultados!$G$4&lt;&gt;0,(Balances!H36/Resultados!$G$4)*365,0)</f>
        <v>0</v>
      </c>
      <c r="D20" s="507">
        <f>IF(Resultados!$J$4&lt;&gt;0,(Balances!J36/Resultados!$J$4)*365,0)</f>
        <v>0</v>
      </c>
      <c r="E20" s="507">
        <f>IF(Resultados!$M$4&lt;&gt;0,(Balances!L36/Resultados!$M$4)*365,0)</f>
        <v>0</v>
      </c>
      <c r="F20" s="507">
        <f>IF(Resultados!$P$4&lt;&gt;0,(Balances!N36/Resultados!$P$4)*365,0)</f>
        <v>0</v>
      </c>
    </row>
    <row r="21" spans="1:6" ht="25.5" customHeight="1">
      <c r="A21" s="500" t="s">
        <v>374</v>
      </c>
      <c r="B21" s="507">
        <f>IF(Resultados!$D$4&lt;&gt;0,(Balances!F38/Resultados!$D$4)*365,0)</f>
        <v>0</v>
      </c>
      <c r="C21" s="507">
        <f>IF(Resultados!$G$4&lt;&gt;0,(Balances!H38/Resultados!$G$4)*365,0)</f>
        <v>0</v>
      </c>
      <c r="D21" s="507">
        <f>IF(Resultados!$J$4&lt;&gt;0,(Balances!J38/Resultados!$J$4)*365,0)</f>
        <v>0</v>
      </c>
      <c r="E21" s="507">
        <f>IF(Resultados!$M$4&lt;&gt;0,(Balances!L38/Resultados!$M$4)*365,0)</f>
        <v>0</v>
      </c>
      <c r="F21" s="507">
        <f>IF(Resultados!$P$4&lt;&gt;0,(Balances!N38/Resultados!$P$4)*365,0)</f>
        <v>0</v>
      </c>
    </row>
    <row r="22" spans="1:6" ht="25.5" customHeight="1">
      <c r="A22" s="500" t="s">
        <v>375</v>
      </c>
      <c r="B22" s="507">
        <f>IF(Resultados!$D$4&lt;&gt;0,(Balances!F14/Resultados!$D$4)*365,0)</f>
        <v>0</v>
      </c>
      <c r="C22" s="507">
        <f>IF(Resultados!$G$4&lt;&gt;0,(Balances!H14/Resultados!$G$4)*365,0)</f>
        <v>0</v>
      </c>
      <c r="D22" s="507">
        <f>IF(Resultados!$J$4&lt;&gt;0,(Balances!J14/Resultados!$J$4)*365,0)</f>
        <v>0</v>
      </c>
      <c r="E22" s="507">
        <f>IF(Resultados!$M$4&lt;&gt;0,(Balances!L14/Resultados!$M$4)*365,0)</f>
        <v>0</v>
      </c>
      <c r="F22" s="507">
        <f>IF(Resultados!$P$4&lt;&gt;0,(Balances!N14/Resultados!$P$4)*365,0)</f>
        <v>0</v>
      </c>
    </row>
    <row r="23" spans="1:6" ht="25.5" customHeight="1">
      <c r="A23" s="500" t="s">
        <v>378</v>
      </c>
      <c r="B23" s="507">
        <f>Circulantes!G19</f>
        <v>0</v>
      </c>
      <c r="C23" s="507">
        <f>Circulantes!J19</f>
        <v>0</v>
      </c>
      <c r="D23" s="507">
        <f>Circulantes!M19</f>
        <v>0</v>
      </c>
      <c r="E23" s="507">
        <f>Circulantes!P19</f>
        <v>0</v>
      </c>
      <c r="F23" s="507">
        <f>Circulantes!S19</f>
        <v>0</v>
      </c>
    </row>
    <row r="24" spans="1:6" ht="25.5" customHeight="1">
      <c r="A24" s="500" t="s">
        <v>379</v>
      </c>
      <c r="B24" s="507">
        <f>Circulantes!G20</f>
        <v>0</v>
      </c>
      <c r="C24" s="507">
        <f>Circulantes!J20</f>
        <v>0</v>
      </c>
      <c r="D24" s="507">
        <f>Circulantes!M20</f>
        <v>0</v>
      </c>
      <c r="E24" s="507">
        <f>Circulantes!P20</f>
        <v>0</v>
      </c>
      <c r="F24" s="507">
        <f>Circulantes!S20</f>
        <v>0</v>
      </c>
    </row>
    <row r="25" spans="1:6" ht="25.5" customHeight="1">
      <c r="A25" s="500" t="s">
        <v>380</v>
      </c>
      <c r="B25" s="507">
        <f>Circulantes!G23</f>
        <v>0</v>
      </c>
      <c r="C25" s="507">
        <f>Circulantes!J23</f>
        <v>0</v>
      </c>
      <c r="D25" s="507">
        <f>Circulantes!M23</f>
        <v>0</v>
      </c>
      <c r="E25" s="507">
        <f>Circulantes!P23</f>
        <v>0</v>
      </c>
      <c r="F25" s="507">
        <f>Circulantes!S23</f>
        <v>0</v>
      </c>
    </row>
    <row r="26" spans="1:6" ht="25.5" customHeight="1">
      <c r="A26" s="500" t="s">
        <v>376</v>
      </c>
      <c r="B26" s="507">
        <f>Circulantes!G24</f>
        <v>0</v>
      </c>
      <c r="C26" s="507">
        <f>Circulantes!J24</f>
        <v>0</v>
      </c>
      <c r="D26" s="507">
        <f>Circulantes!M24</f>
        <v>0</v>
      </c>
      <c r="E26" s="507">
        <f>Circulantes!P24</f>
        <v>0</v>
      </c>
      <c r="F26" s="507">
        <f>Circulantes!S24</f>
        <v>0</v>
      </c>
    </row>
    <row r="27" spans="1:6" ht="25.5" customHeight="1">
      <c r="A27" s="500" t="s">
        <v>377</v>
      </c>
      <c r="B27" s="507">
        <f>Circulantes!G31</f>
        <v>0</v>
      </c>
      <c r="C27" s="507">
        <f>Circulantes!J31</f>
        <v>0</v>
      </c>
      <c r="D27" s="507">
        <f>Circulantes!M31</f>
        <v>0</v>
      </c>
      <c r="E27" s="507">
        <f>Circulantes!P31</f>
        <v>0</v>
      </c>
      <c r="F27" s="507">
        <f>Circulantes!S31</f>
        <v>0</v>
      </c>
    </row>
    <row r="28" spans="1:6" s="499" customFormat="1" ht="33" customHeight="1">
      <c r="A28" s="509" t="s">
        <v>370</v>
      </c>
      <c r="B28" s="871"/>
      <c r="C28" s="871"/>
      <c r="D28" s="871"/>
      <c r="E28" s="871"/>
      <c r="F28" s="871"/>
    </row>
    <row r="29" spans="1:6" ht="25.5" customHeight="1">
      <c r="A29" s="500" t="s">
        <v>388</v>
      </c>
      <c r="B29" s="783">
        <f>IF((Balances!$F$16+Balances!$F$24)&lt;&gt;0,Balances!$F$16/(Balances!$F$16+Balances!$F$24),0)</f>
        <v>0</v>
      </c>
      <c r="C29" s="783">
        <f>IF((Balances!$H$16+Balances!$H$24)&lt;&gt;0,Balances!$H$16/(Balances!$H$16+Balances!$H$24),0)</f>
        <v>0</v>
      </c>
      <c r="D29" s="783">
        <f>IF((Balances!$J$16+Balances!$J$24)&lt;&gt;0,Balances!$J$16/(Balances!$J$16+Balances!$J$24),0)</f>
        <v>0</v>
      </c>
      <c r="E29" s="783">
        <f>IF((Balances!$L$16+Balances!$L$24)&lt;&gt;0,Balances!$L$16/(Balances!$L$16+Balances!$L$24),0)</f>
        <v>0</v>
      </c>
      <c r="F29" s="783">
        <f>IF((Balances!$N$16+Balances!$N$24)&lt;&gt;0,Balances!$N$16/(Balances!$N$16+Balances!$N$24),0)</f>
        <v>0</v>
      </c>
    </row>
    <row r="30" spans="1:6" ht="25.5" customHeight="1">
      <c r="A30" s="504" t="s">
        <v>389</v>
      </c>
      <c r="B30" s="508">
        <f>IF((Balances!$F$3+Balances!$F$38)&lt;&gt;0,(Balances!$F$16+Balances!$F$24)/(Balances!$F$3+Balances!$F$38),0)</f>
        <v>0</v>
      </c>
      <c r="C30" s="508">
        <f>IF((Balances!$H$3+Balances!$H$38)&lt;&gt;0,(Balances!$H$16+Balances!$H$24)/(Balances!$H$3+Balances!$H$38),0)</f>
        <v>0</v>
      </c>
      <c r="D30" s="508">
        <f>IF((Balances!$J$3+Balances!$J$38)&lt;&gt;0,(Balances!$J$16+Balances!$J$24)/(Balances!$J$3+Balances!$J$38),0)</f>
        <v>0</v>
      </c>
      <c r="E30" s="508">
        <f>IF((Balances!$L$3+Balances!$L$38)&lt;&gt;0,(Balances!$L$16+Balances!$L$24)/(Balances!$L$3+Balances!$L$38),0)</f>
        <v>0</v>
      </c>
      <c r="F30" s="508">
        <f>IF((Balances!$N$3+Balances!$N$38)&lt;&gt;0,(Balances!$N$16+Balances!$N$24)/(Balances!$N$3+Balances!$N$38),0)</f>
        <v>0</v>
      </c>
    </row>
    <row r="31" spans="1:6" ht="25.5" customHeight="1">
      <c r="A31" s="504" t="s">
        <v>366</v>
      </c>
      <c r="B31" s="783">
        <f>IF((Balances!$F$24+Balances!$F$27)&lt;&gt;0,Balances!$F$27/(Balances!$F$24+Balances!$F$27),0)</f>
        <v>0</v>
      </c>
      <c r="C31" s="783">
        <f>IF((Balances!$H$24+Balances!$H$27)&lt;&gt;0,Balances!$H$27/(Balances!$H$24+Balances!$H$27),0)</f>
        <v>0</v>
      </c>
      <c r="D31" s="783">
        <f>IF((Balances!$J$24+Balances!$J$27)&lt;&gt;0,Balances!$J$27/(Balances!$J$24+Balances!$J$27),0)</f>
        <v>0</v>
      </c>
      <c r="E31" s="783">
        <f>IF((Balances!$L$24+Balances!$L$27)&lt;&gt;0,Balances!$L$27/(Balances!$L$24+Balances!$L$27),0)</f>
        <v>0</v>
      </c>
      <c r="F31" s="783">
        <f>IF((Balances!$N$24+Balances!$N$27)&lt;&gt;0,Balances!$N$27/(Balances!$N$24+Balances!$N$27),0)</f>
        <v>0</v>
      </c>
    </row>
    <row r="32" spans="1:6" ht="25.5" customHeight="1">
      <c r="A32" s="500" t="s">
        <v>361</v>
      </c>
      <c r="B32" s="783">
        <f>Balances!G27+Balances!G24</f>
        <v>0</v>
      </c>
      <c r="C32" s="783">
        <f>Balances!I27+Balances!I24</f>
        <v>0</v>
      </c>
      <c r="D32" s="783">
        <f>Balances!K27+Balances!K24</f>
        <v>0</v>
      </c>
      <c r="E32" s="783">
        <f>Balances!M27+Balances!M24</f>
        <v>0</v>
      </c>
      <c r="F32" s="783">
        <f>Balances!O27+Balances!O24</f>
        <v>0</v>
      </c>
    </row>
    <row r="33" spans="1:6" ht="25.5" customHeight="1">
      <c r="A33" s="500" t="s">
        <v>367</v>
      </c>
      <c r="B33" s="783">
        <f>IF((Balances!$F$24+Balances!$F$27)&lt;&gt;0,Resultados!$D$28/(Balances!$F$24+Balances!$F$27),0)</f>
        <v>0</v>
      </c>
      <c r="C33" s="783">
        <f>IF((Balances!$H$24+Balances!$H$27)&lt;&gt;0,Resultados!$G$28/(Balances!$H$24+Balances!$H$27),0)</f>
        <v>0</v>
      </c>
      <c r="D33" s="783">
        <f>IF((Balances!$J$24+Balances!$J$27)&lt;&gt;0,Resultados!$J$28/(Balances!$J$24+Balances!$J$27),0)</f>
        <v>0</v>
      </c>
      <c r="E33" s="783">
        <f>IF((Balances!$L$24+Balances!$L$27)&lt;&gt;0,Resultados!$M$28/(Balances!$L$24+Balances!$L$27),0)</f>
        <v>0</v>
      </c>
      <c r="F33" s="783">
        <f>IF((Balances!$N$24+Balances!$N$27)&lt;&gt;0,Resultados!$P$28/(Balances!$N$24+Balances!$N$27),0)</f>
        <v>0</v>
      </c>
    </row>
    <row r="34" spans="1:6" s="499" customFormat="1" ht="33" customHeight="1">
      <c r="A34" s="1094" t="s">
        <v>371</v>
      </c>
      <c r="B34" s="1094"/>
      <c r="C34" s="1094"/>
      <c r="D34" s="1094"/>
      <c r="E34" s="1094"/>
      <c r="F34" s="1094"/>
    </row>
    <row r="35" spans="1:6" ht="25.5" customHeight="1">
      <c r="A35" s="500" t="s">
        <v>362</v>
      </c>
      <c r="B35" s="784">
        <f>IF(Balances!$F$27&lt;&gt;0,Balances!$F$10/Balances!$F$27,0)</f>
        <v>0</v>
      </c>
      <c r="C35" s="784">
        <f>IF(Balances!$H$27&lt;&gt;0,Balances!$H$10/Balances!$H$27,0)</f>
        <v>0</v>
      </c>
      <c r="D35" s="784">
        <f>IF(Balances!$J$27&lt;&gt;0,Balances!$J$10/Balances!$J$27,0)</f>
        <v>0</v>
      </c>
      <c r="E35" s="784">
        <f>IF(Balances!$L$27&lt;&gt;0,Balances!$L$10/Balances!$L$27,0)</f>
        <v>0</v>
      </c>
      <c r="F35" s="784">
        <f>IF(Balances!$N$27&lt;&gt;0,Balances!$N$10/Balances!$N$27,0)</f>
        <v>0</v>
      </c>
    </row>
    <row r="36" spans="1:6" ht="25.5" customHeight="1">
      <c r="A36" s="514" t="s">
        <v>363</v>
      </c>
      <c r="B36" s="872">
        <f>IF(Balances!$F$27&lt;&gt;0,(Balances!$F$10-Balances!$F$11)/Balances!$F$27,0)</f>
        <v>0</v>
      </c>
      <c r="C36" s="872">
        <f>IF(Balances!$H$27&lt;&gt;0,(Balances!$H$10-Balances!$H$11)/Balances!$H$27,0)</f>
        <v>0</v>
      </c>
      <c r="D36" s="872">
        <f>IF(Balances!$J$27&lt;&gt;0,(Balances!$J$10-Balances!$J$11)/Balances!$J$27,0)</f>
        <v>0</v>
      </c>
      <c r="E36" s="872">
        <f>IF(Balances!$L$27&lt;&gt;0,(Balances!$L$10-Balances!$L$11)/Balances!$L$27,0)</f>
        <v>0</v>
      </c>
      <c r="F36" s="872">
        <f>IF(Balances!$N$27&lt;&gt;0,(Balances!$N$10-Balances!$N$11)/Balances!$N$27,0)</f>
        <v>0</v>
      </c>
    </row>
  </sheetData>
  <sheetProtection password="A6E9" sheet="1" objects="1" scenarios="1" formatColumns="0"/>
  <mergeCells count="1">
    <mergeCell ref="A34:F34"/>
  </mergeCells>
  <phoneticPr fontId="47" type="noConversion"/>
  <printOptions horizontalCentered="1"/>
  <pageMargins left="0.70866141732283472" right="0.70866141732283472" top="1.02" bottom="0.74803149606299213" header="0.55118110236220474" footer="0.31496062992125984"/>
  <pageSetup paperSize="9" scale="77" fitToHeight="2" orientation="landscape" r:id="rId1"/>
  <headerFooter>
    <oddHeader>&amp;C&amp;A</oddHeader>
    <oddFooter>Página &amp;P</oddFooter>
  </headerFooter>
  <rowBreaks count="1" manualBreakCount="1">
    <brk id="1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7" r:id="rId4" name="Button 43">
              <controlPr defaultSize="0" print="0" autoFill="0" autoPict="0" macro="[0]!Inicio">
                <anchor moveWithCells="1" sizeWithCells="1">
                  <from>
                    <xdr:col>0</xdr:col>
                    <xdr:colOff>114300</xdr:colOff>
                    <xdr:row>0</xdr:row>
                    <xdr:rowOff>95250</xdr:rowOff>
                  </from>
                  <to>
                    <xdr:col>0</xdr:col>
                    <xdr:colOff>1304925</xdr:colOff>
                    <xdr:row>0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Z9"/>
  <sheetViews>
    <sheetView showZeros="0" zoomScale="90" zoomScaleNormal="90" workbookViewId="0">
      <selection activeCell="B3" sqref="B3"/>
    </sheetView>
  </sheetViews>
  <sheetFormatPr baseColWidth="10" defaultColWidth="0" defaultRowHeight="16.5"/>
  <cols>
    <col min="1" max="1" width="35.25" style="7" customWidth="1"/>
    <col min="2" max="7" width="11" style="7" customWidth="1"/>
    <col min="8" max="16384" width="0" style="7" hidden="1"/>
  </cols>
  <sheetData>
    <row r="1" spans="1:26" ht="39.75" customHeight="1"/>
    <row r="2" spans="1:26" s="479" customFormat="1" ht="33" customHeight="1" thickBot="1">
      <c r="A2" s="511" t="s">
        <v>508</v>
      </c>
      <c r="B2" s="512"/>
      <c r="C2" s="512"/>
      <c r="D2" s="512"/>
      <c r="E2" s="512"/>
      <c r="F2" s="512"/>
    </row>
    <row r="3" spans="1:26" s="499" customFormat="1" ht="33" customHeight="1">
      <c r="A3" s="510"/>
      <c r="B3" s="529" t="s">
        <v>60</v>
      </c>
      <c r="C3" s="529" t="s">
        <v>61</v>
      </c>
      <c r="D3" s="529" t="s">
        <v>62</v>
      </c>
      <c r="E3" s="529" t="s">
        <v>176</v>
      </c>
      <c r="F3" s="529" t="s">
        <v>177</v>
      </c>
    </row>
    <row r="4" spans="1:26" s="502" customFormat="1" ht="30" customHeight="1">
      <c r="A4" s="500" t="s">
        <v>125</v>
      </c>
      <c r="B4" s="873">
        <f>'G. Fijos'!B24</f>
        <v>0</v>
      </c>
      <c r="C4" s="873">
        <f>'G. Fijos'!D24</f>
        <v>0</v>
      </c>
      <c r="D4" s="873">
        <f>'G. Fijos'!F24</f>
        <v>0</v>
      </c>
      <c r="E4" s="873">
        <f>'G. Fijos'!H24</f>
        <v>0</v>
      </c>
      <c r="F4" s="873">
        <f>'G. Fijos'!J24</f>
        <v>0</v>
      </c>
      <c r="G4" s="501"/>
      <c r="H4" s="501"/>
      <c r="I4" s="501"/>
    </row>
    <row r="5" spans="1:26" s="502" customFormat="1" ht="30" customHeight="1">
      <c r="A5" s="500" t="s">
        <v>402</v>
      </c>
      <c r="B5" s="874">
        <f>Resultados!D14</f>
        <v>0</v>
      </c>
      <c r="C5" s="874">
        <f>Resultados!G14</f>
        <v>0</v>
      </c>
      <c r="D5" s="874">
        <f>Resultados!J14</f>
        <v>0</v>
      </c>
      <c r="E5" s="874">
        <f>Resultados!M14</f>
        <v>0</v>
      </c>
      <c r="F5" s="874">
        <f>Resultados!P14</f>
        <v>0</v>
      </c>
      <c r="G5" s="530"/>
      <c r="I5" s="530"/>
      <c r="J5" s="530"/>
    </row>
    <row r="6" spans="1:26" s="502" customFormat="1" ht="30" customHeight="1">
      <c r="A6" s="500" t="s">
        <v>403</v>
      </c>
      <c r="B6" s="783">
        <f>Resultados!E14</f>
        <v>0</v>
      </c>
      <c r="C6" s="783">
        <f>Resultados!H14</f>
        <v>0</v>
      </c>
      <c r="D6" s="783">
        <f>Resultados!K14</f>
        <v>0</v>
      </c>
      <c r="E6" s="783">
        <f>Resultados!N14</f>
        <v>0</v>
      </c>
      <c r="F6" s="783">
        <f>Resultados!Q14</f>
        <v>0</v>
      </c>
      <c r="G6" s="501"/>
      <c r="I6" s="501"/>
      <c r="J6" s="501"/>
      <c r="L6" s="501"/>
      <c r="M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</row>
    <row r="7" spans="1:26" ht="33" customHeight="1">
      <c r="A7" s="531" t="s">
        <v>508</v>
      </c>
      <c r="B7" s="875">
        <f>IF(B6&lt;&gt;0,B4/B6,0)</f>
        <v>0</v>
      </c>
      <c r="C7" s="875">
        <f>IF(C6&lt;&gt;0,C4/C6,0)</f>
        <v>0</v>
      </c>
      <c r="D7" s="875">
        <f>IF(D6&lt;&gt;0,D4/D6,0)</f>
        <v>0</v>
      </c>
      <c r="E7" s="875">
        <f>IF(E6&lt;&gt;0,E4/E6,0)</f>
        <v>0</v>
      </c>
      <c r="F7" s="875">
        <f>IF(F6&lt;&gt;0,F4/F6,0)</f>
        <v>0</v>
      </c>
    </row>
    <row r="8" spans="1:26" ht="30" customHeight="1">
      <c r="A8" s="7" t="s">
        <v>405</v>
      </c>
      <c r="B8" s="874">
        <f>Resultados!D4</f>
        <v>0</v>
      </c>
      <c r="C8" s="874">
        <f>Resultados!G4</f>
        <v>0</v>
      </c>
      <c r="D8" s="874">
        <f>Resultados!J4</f>
        <v>0</v>
      </c>
      <c r="E8" s="874">
        <f>Resultados!M4</f>
        <v>0</v>
      </c>
      <c r="F8" s="874">
        <f>Resultados!P4</f>
        <v>0</v>
      </c>
    </row>
    <row r="9" spans="1:26" ht="33" customHeight="1">
      <c r="A9" s="78" t="s">
        <v>404</v>
      </c>
      <c r="B9" s="876">
        <f>B8-B7</f>
        <v>0</v>
      </c>
      <c r="C9" s="876">
        <f>C8-C7</f>
        <v>0</v>
      </c>
      <c r="D9" s="876">
        <f>D8-D7</f>
        <v>0</v>
      </c>
      <c r="E9" s="876">
        <f>E8-E7</f>
        <v>0</v>
      </c>
      <c r="F9" s="876">
        <f>F8-F7</f>
        <v>0</v>
      </c>
    </row>
  </sheetData>
  <sheetProtection password="A6E9" sheet="1" formatColumns="0"/>
  <phoneticPr fontId="4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0" r:id="rId4" name="Button 8">
              <controlPr defaultSize="0" print="0" autoFill="0" autoPict="0" macro="[0]!Inicio">
                <anchor moveWithCells="1" sizeWithCells="1">
                  <from>
                    <xdr:col>0</xdr:col>
                    <xdr:colOff>152400</xdr:colOff>
                    <xdr:row>0</xdr:row>
                    <xdr:rowOff>104775</xdr:rowOff>
                  </from>
                  <to>
                    <xdr:col>0</xdr:col>
                    <xdr:colOff>1343025</xdr:colOff>
                    <xdr:row>0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BM42"/>
  <sheetViews>
    <sheetView showGridLines="0" showZeros="0" zoomScale="88" zoomScaleNormal="88" workbookViewId="0">
      <selection activeCell="D5" sqref="D5"/>
    </sheetView>
  </sheetViews>
  <sheetFormatPr baseColWidth="10" defaultRowHeight="18"/>
  <cols>
    <col min="1" max="1" width="2.625" style="62" customWidth="1"/>
    <col min="2" max="2" width="3.125" style="62" customWidth="1"/>
    <col min="3" max="3" width="41.875" style="62" customWidth="1"/>
    <col min="4" max="4" width="12.125" style="62" customWidth="1"/>
    <col min="5" max="5" width="8.75" style="62" bestFit="1" customWidth="1"/>
    <col min="6" max="6" width="2.625" style="62" customWidth="1"/>
    <col min="7" max="7" width="3.125" style="62" customWidth="1"/>
    <col min="8" max="8" width="44.75" style="62" bestFit="1" customWidth="1"/>
    <col min="9" max="9" width="12.125" style="62" customWidth="1"/>
    <col min="10" max="10" width="8.75" style="62" bestFit="1" customWidth="1"/>
    <col min="11" max="65" width="11" style="605"/>
    <col min="66" max="16384" width="11" style="606"/>
  </cols>
  <sheetData>
    <row r="1" spans="1:10" ht="29.25" customHeight="1" thickBot="1">
      <c r="A1" s="937" t="s">
        <v>431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0" ht="34.5" customHeight="1" thickBot="1">
      <c r="A2" s="934" t="s">
        <v>432</v>
      </c>
      <c r="B2" s="935"/>
      <c r="C2" s="935"/>
      <c r="D2" s="935"/>
      <c r="E2" s="935"/>
      <c r="F2" s="935"/>
      <c r="G2" s="935"/>
      <c r="H2" s="935"/>
      <c r="I2" s="935"/>
      <c r="J2" s="936"/>
    </row>
    <row r="3" spans="1:10" ht="18.75" thickBot="1">
      <c r="A3" s="549" t="s">
        <v>63</v>
      </c>
      <c r="B3" s="550" t="s">
        <v>261</v>
      </c>
      <c r="C3" s="550"/>
      <c r="D3" s="551">
        <f>SUM(D5:D8)+SUM(D10:D20)+SUM(D22:D24)</f>
        <v>0</v>
      </c>
      <c r="E3" s="552">
        <f>IF($D$40&lt;&gt;0,D3/$D$40,0)</f>
        <v>0</v>
      </c>
      <c r="F3" s="226" t="s">
        <v>63</v>
      </c>
      <c r="G3" s="227" t="s">
        <v>255</v>
      </c>
      <c r="H3" s="227"/>
      <c r="I3" s="234">
        <f>SUM(I4:I15)</f>
        <v>0</v>
      </c>
      <c r="J3" s="279">
        <f>IF($I$40&lt;&gt;0,I3/$I$40,0)</f>
        <v>0</v>
      </c>
    </row>
    <row r="4" spans="1:10">
      <c r="A4" s="560"/>
      <c r="B4" s="561" t="s">
        <v>2</v>
      </c>
      <c r="C4" s="562" t="s">
        <v>137</v>
      </c>
      <c r="D4" s="563">
        <f>SUM(D5:D7)</f>
        <v>0</v>
      </c>
      <c r="E4" s="564">
        <f>IF($D$40&lt;&gt;0,D4/$D$40,0)</f>
        <v>0</v>
      </c>
      <c r="F4" s="229"/>
      <c r="G4" s="229" t="s">
        <v>2</v>
      </c>
      <c r="H4" s="229" t="s">
        <v>65</v>
      </c>
      <c r="I4" s="556"/>
      <c r="J4" s="274">
        <f>IF($I$40&lt;&gt;0,I4/$I$40,0)</f>
        <v>0</v>
      </c>
    </row>
    <row r="5" spans="1:10">
      <c r="A5" s="228"/>
      <c r="B5" s="229"/>
      <c r="C5" s="559" t="s">
        <v>434</v>
      </c>
      <c r="D5" s="567"/>
      <c r="E5" s="568">
        <f t="shared" ref="E5:E40" si="0">IF($D$40&lt;&gt;0,D5/$D$40,0)</f>
        <v>0</v>
      </c>
      <c r="F5" s="229"/>
      <c r="G5" s="229" t="s">
        <v>2</v>
      </c>
      <c r="H5" s="229" t="s">
        <v>264</v>
      </c>
      <c r="I5" s="556"/>
      <c r="J5" s="274">
        <f t="shared" ref="J5:J40" si="1">IF($I$40&lt;&gt;0,I5/$I$40,0)</f>
        <v>0</v>
      </c>
    </row>
    <row r="6" spans="1:10">
      <c r="A6" s="228"/>
      <c r="B6" s="229"/>
      <c r="C6" s="559" t="s">
        <v>435</v>
      </c>
      <c r="D6" s="567"/>
      <c r="E6" s="568">
        <f t="shared" si="0"/>
        <v>0</v>
      </c>
      <c r="F6" s="229"/>
      <c r="G6" s="229" t="s">
        <v>2</v>
      </c>
      <c r="H6" s="229" t="s">
        <v>73</v>
      </c>
      <c r="I6" s="556"/>
      <c r="J6" s="274">
        <f t="shared" si="1"/>
        <v>0</v>
      </c>
    </row>
    <row r="7" spans="1:10">
      <c r="A7" s="228"/>
      <c r="B7" s="229"/>
      <c r="C7" s="559" t="s">
        <v>436</v>
      </c>
      <c r="D7" s="567"/>
      <c r="E7" s="568">
        <f t="shared" si="0"/>
        <v>0</v>
      </c>
      <c r="F7" s="229"/>
      <c r="G7" s="229" t="s">
        <v>2</v>
      </c>
      <c r="H7" s="229" t="s">
        <v>425</v>
      </c>
      <c r="I7" s="556"/>
      <c r="J7" s="274">
        <f t="shared" si="1"/>
        <v>0</v>
      </c>
    </row>
    <row r="8" spans="1:10">
      <c r="A8" s="228"/>
      <c r="B8" s="229" t="s">
        <v>2</v>
      </c>
      <c r="C8" s="229" t="s">
        <v>257</v>
      </c>
      <c r="D8" s="556"/>
      <c r="E8" s="275">
        <f t="shared" si="0"/>
        <v>0</v>
      </c>
      <c r="F8" s="229"/>
      <c r="G8" s="229" t="s">
        <v>2</v>
      </c>
      <c r="H8" s="229" t="s">
        <v>426</v>
      </c>
      <c r="I8" s="556"/>
      <c r="J8" s="274">
        <f t="shared" si="1"/>
        <v>0</v>
      </c>
    </row>
    <row r="9" spans="1:10">
      <c r="A9" s="228"/>
      <c r="B9" s="229" t="s">
        <v>2</v>
      </c>
      <c r="C9" s="555" t="s">
        <v>138</v>
      </c>
      <c r="D9" s="209">
        <f>SUM(D10:D18)</f>
        <v>0</v>
      </c>
      <c r="E9" s="275">
        <f t="shared" si="0"/>
        <v>0</v>
      </c>
      <c r="F9" s="229"/>
      <c r="G9" s="229" t="s">
        <v>2</v>
      </c>
      <c r="H9" s="229" t="s">
        <v>427</v>
      </c>
      <c r="I9" s="556"/>
      <c r="J9" s="274">
        <f t="shared" si="1"/>
        <v>0</v>
      </c>
    </row>
    <row r="10" spans="1:10">
      <c r="A10" s="228"/>
      <c r="B10" s="229"/>
      <c r="C10" s="559" t="s">
        <v>437</v>
      </c>
      <c r="D10" s="569"/>
      <c r="E10" s="568">
        <f t="shared" si="0"/>
        <v>0</v>
      </c>
      <c r="F10" s="229"/>
      <c r="G10" s="229" t="s">
        <v>2</v>
      </c>
      <c r="H10" s="229" t="s">
        <v>414</v>
      </c>
      <c r="I10" s="556"/>
      <c r="J10" s="274">
        <f t="shared" si="1"/>
        <v>0</v>
      </c>
    </row>
    <row r="11" spans="1:10">
      <c r="A11" s="228"/>
      <c r="B11" s="229"/>
      <c r="C11" s="559" t="s">
        <v>438</v>
      </c>
      <c r="D11" s="569"/>
      <c r="E11" s="568">
        <f t="shared" si="0"/>
        <v>0</v>
      </c>
      <c r="F11" s="229"/>
      <c r="G11" s="229" t="s">
        <v>2</v>
      </c>
      <c r="H11" s="229" t="s">
        <v>428</v>
      </c>
      <c r="I11" s="556"/>
      <c r="J11" s="274">
        <f t="shared" si="1"/>
        <v>0</v>
      </c>
    </row>
    <row r="12" spans="1:10">
      <c r="A12" s="228"/>
      <c r="B12" s="229"/>
      <c r="C12" s="559" t="s">
        <v>439</v>
      </c>
      <c r="D12" s="569"/>
      <c r="E12" s="568">
        <f t="shared" si="0"/>
        <v>0</v>
      </c>
      <c r="F12" s="229"/>
      <c r="G12" s="229" t="s">
        <v>2</v>
      </c>
      <c r="H12" s="229" t="s">
        <v>153</v>
      </c>
      <c r="I12" s="556"/>
      <c r="J12" s="274">
        <f t="shared" si="1"/>
        <v>0</v>
      </c>
    </row>
    <row r="13" spans="1:10">
      <c r="A13" s="228"/>
      <c r="B13" s="229"/>
      <c r="C13" s="559" t="s">
        <v>440</v>
      </c>
      <c r="D13" s="569"/>
      <c r="E13" s="568">
        <f t="shared" si="0"/>
        <v>0</v>
      </c>
      <c r="F13" s="229"/>
      <c r="G13" s="229"/>
      <c r="H13" s="229"/>
      <c r="I13" s="209"/>
      <c r="J13" s="274"/>
    </row>
    <row r="14" spans="1:10">
      <c r="A14" s="228"/>
      <c r="B14" s="229"/>
      <c r="C14" s="559" t="s">
        <v>441</v>
      </c>
      <c r="D14" s="569"/>
      <c r="E14" s="568">
        <f t="shared" si="0"/>
        <v>0</v>
      </c>
      <c r="F14" s="229"/>
      <c r="G14" s="229"/>
      <c r="H14" s="229"/>
      <c r="I14" s="209"/>
      <c r="J14" s="274"/>
    </row>
    <row r="15" spans="1:10">
      <c r="A15" s="228"/>
      <c r="B15" s="229"/>
      <c r="C15" s="559" t="s">
        <v>442</v>
      </c>
      <c r="D15" s="569"/>
      <c r="E15" s="568">
        <f t="shared" si="0"/>
        <v>0</v>
      </c>
      <c r="F15" s="229"/>
      <c r="G15" s="229"/>
      <c r="H15" s="229"/>
      <c r="I15" s="209"/>
      <c r="J15" s="274"/>
    </row>
    <row r="16" spans="1:10">
      <c r="A16" s="228"/>
      <c r="B16" s="229"/>
      <c r="C16" s="559" t="s">
        <v>443</v>
      </c>
      <c r="D16" s="569"/>
      <c r="E16" s="568">
        <f t="shared" si="0"/>
        <v>0</v>
      </c>
      <c r="F16" s="231" t="s">
        <v>63</v>
      </c>
      <c r="G16" s="231" t="s">
        <v>259</v>
      </c>
      <c r="H16" s="231"/>
      <c r="I16" s="232">
        <f>SUM(I17:I24)</f>
        <v>0</v>
      </c>
      <c r="J16" s="276">
        <f t="shared" si="1"/>
        <v>0</v>
      </c>
    </row>
    <row r="17" spans="1:10" ht="18" customHeight="1">
      <c r="A17" s="228"/>
      <c r="B17" s="229"/>
      <c r="C17" s="559" t="s">
        <v>435</v>
      </c>
      <c r="D17" s="569"/>
      <c r="E17" s="568">
        <f t="shared" si="0"/>
        <v>0</v>
      </c>
      <c r="F17" s="553"/>
      <c r="G17" s="229" t="s">
        <v>2</v>
      </c>
      <c r="H17" s="229" t="s">
        <v>429</v>
      </c>
      <c r="I17" s="557"/>
      <c r="J17" s="554">
        <f t="shared" si="1"/>
        <v>0</v>
      </c>
    </row>
    <row r="18" spans="1:10">
      <c r="A18" s="228"/>
      <c r="B18" s="229"/>
      <c r="C18" s="559" t="s">
        <v>444</v>
      </c>
      <c r="D18" s="569"/>
      <c r="E18" s="568">
        <f t="shared" si="0"/>
        <v>0</v>
      </c>
      <c r="F18" s="229"/>
      <c r="G18" s="229" t="s">
        <v>2</v>
      </c>
      <c r="H18" s="229" t="s">
        <v>256</v>
      </c>
      <c r="I18" s="556"/>
      <c r="J18" s="274">
        <f t="shared" si="1"/>
        <v>0</v>
      </c>
    </row>
    <row r="19" spans="1:10">
      <c r="A19" s="228"/>
      <c r="B19" s="229" t="s">
        <v>2</v>
      </c>
      <c r="C19" s="229" t="s">
        <v>257</v>
      </c>
      <c r="D19" s="558"/>
      <c r="E19" s="275">
        <f t="shared" si="0"/>
        <v>0</v>
      </c>
      <c r="F19" s="229"/>
      <c r="G19" s="229" t="s">
        <v>2</v>
      </c>
      <c r="H19" s="229" t="s">
        <v>419</v>
      </c>
      <c r="I19" s="556"/>
      <c r="J19" s="274">
        <f t="shared" si="1"/>
        <v>0</v>
      </c>
    </row>
    <row r="20" spans="1:10">
      <c r="A20" s="228"/>
      <c r="B20" s="229" t="s">
        <v>2</v>
      </c>
      <c r="C20" s="229" t="s">
        <v>418</v>
      </c>
      <c r="D20" s="556"/>
      <c r="E20" s="275">
        <f t="shared" si="0"/>
        <v>0</v>
      </c>
      <c r="F20" s="229"/>
      <c r="G20" s="229" t="s">
        <v>2</v>
      </c>
      <c r="H20" s="229" t="s">
        <v>421</v>
      </c>
      <c r="I20" s="556"/>
      <c r="J20" s="274">
        <f t="shared" si="1"/>
        <v>0</v>
      </c>
    </row>
    <row r="21" spans="1:10">
      <c r="A21" s="228"/>
      <c r="B21" s="229" t="s">
        <v>2</v>
      </c>
      <c r="C21" s="555" t="s">
        <v>408</v>
      </c>
      <c r="D21" s="209">
        <f>SUM(D22:D23)</f>
        <v>0</v>
      </c>
      <c r="E21" s="275">
        <f t="shared" si="0"/>
        <v>0</v>
      </c>
      <c r="F21" s="555"/>
      <c r="G21" s="229" t="s">
        <v>2</v>
      </c>
      <c r="H21" s="229" t="s">
        <v>420</v>
      </c>
      <c r="I21" s="556"/>
      <c r="J21" s="274">
        <f t="shared" si="1"/>
        <v>0</v>
      </c>
    </row>
    <row r="22" spans="1:10">
      <c r="A22" s="228"/>
      <c r="B22" s="229"/>
      <c r="C22" s="559" t="s">
        <v>445</v>
      </c>
      <c r="D22" s="567"/>
      <c r="E22" s="568">
        <f t="shared" si="0"/>
        <v>0</v>
      </c>
      <c r="F22" s="555"/>
      <c r="G22" s="229"/>
      <c r="H22" s="229"/>
      <c r="I22" s="209"/>
      <c r="J22" s="274"/>
    </row>
    <row r="23" spans="1:10">
      <c r="A23" s="228"/>
      <c r="B23" s="229"/>
      <c r="C23" s="559" t="s">
        <v>446</v>
      </c>
      <c r="D23" s="567"/>
      <c r="E23" s="568">
        <f t="shared" si="0"/>
        <v>0</v>
      </c>
      <c r="F23" s="555"/>
      <c r="G23" s="229"/>
      <c r="H23" s="229"/>
      <c r="I23" s="209"/>
      <c r="J23" s="274"/>
    </row>
    <row r="24" spans="1:10">
      <c r="A24" s="228"/>
      <c r="B24" s="229" t="s">
        <v>2</v>
      </c>
      <c r="C24" s="229" t="s">
        <v>409</v>
      </c>
      <c r="D24" s="556"/>
      <c r="E24" s="275">
        <f t="shared" si="0"/>
        <v>0</v>
      </c>
      <c r="F24" s="555"/>
      <c r="G24" s="229"/>
      <c r="H24" s="229"/>
      <c r="I24" s="209"/>
      <c r="J24" s="274"/>
    </row>
    <row r="25" spans="1:10">
      <c r="A25" s="230" t="s">
        <v>63</v>
      </c>
      <c r="B25" s="231" t="s">
        <v>262</v>
      </c>
      <c r="C25" s="231"/>
      <c r="D25" s="232">
        <f>D26+SUM(D32:D39)</f>
        <v>0</v>
      </c>
      <c r="E25" s="277">
        <f t="shared" si="0"/>
        <v>0</v>
      </c>
      <c r="F25" s="231" t="s">
        <v>63</v>
      </c>
      <c r="G25" s="231" t="s">
        <v>260</v>
      </c>
      <c r="H25" s="231"/>
      <c r="I25" s="232">
        <f>SUM(I26:I39)</f>
        <v>0</v>
      </c>
      <c r="J25" s="276">
        <f t="shared" si="1"/>
        <v>0</v>
      </c>
    </row>
    <row r="26" spans="1:10">
      <c r="A26" s="228"/>
      <c r="B26" s="229" t="s">
        <v>2</v>
      </c>
      <c r="C26" s="229" t="s">
        <v>410</v>
      </c>
      <c r="D26" s="209">
        <f>SUM(D27:D31)</f>
        <v>0</v>
      </c>
      <c r="E26" s="275">
        <f t="shared" si="0"/>
        <v>0</v>
      </c>
      <c r="F26" s="555"/>
      <c r="G26" s="229" t="s">
        <v>2</v>
      </c>
      <c r="H26" s="229" t="s">
        <v>423</v>
      </c>
      <c r="I26" s="558"/>
      <c r="J26" s="274">
        <f t="shared" si="1"/>
        <v>0</v>
      </c>
    </row>
    <row r="27" spans="1:10">
      <c r="A27" s="228"/>
      <c r="B27" s="229"/>
      <c r="C27" s="559" t="s">
        <v>140</v>
      </c>
      <c r="D27" s="567"/>
      <c r="E27" s="568">
        <f t="shared" si="0"/>
        <v>0</v>
      </c>
      <c r="F27" s="555"/>
      <c r="G27" s="229" t="s">
        <v>2</v>
      </c>
      <c r="H27" s="229" t="s">
        <v>256</v>
      </c>
      <c r="I27" s="558"/>
      <c r="J27" s="274">
        <f t="shared" si="1"/>
        <v>0</v>
      </c>
    </row>
    <row r="28" spans="1:10">
      <c r="A28" s="228"/>
      <c r="B28" s="229"/>
      <c r="C28" s="559" t="s">
        <v>317</v>
      </c>
      <c r="D28" s="567"/>
      <c r="E28" s="568">
        <f t="shared" si="0"/>
        <v>0</v>
      </c>
      <c r="F28" s="555"/>
      <c r="G28" s="229" t="s">
        <v>2</v>
      </c>
      <c r="H28" s="229" t="s">
        <v>273</v>
      </c>
      <c r="I28" s="558"/>
      <c r="J28" s="274">
        <f t="shared" si="1"/>
        <v>0</v>
      </c>
    </row>
    <row r="29" spans="1:10">
      <c r="A29" s="228"/>
      <c r="B29" s="229"/>
      <c r="C29" s="559" t="s">
        <v>239</v>
      </c>
      <c r="D29" s="567"/>
      <c r="E29" s="568">
        <f t="shared" si="0"/>
        <v>0</v>
      </c>
      <c r="F29" s="555"/>
      <c r="G29" s="229" t="s">
        <v>2</v>
      </c>
      <c r="H29" s="229" t="s">
        <v>424</v>
      </c>
      <c r="I29" s="558"/>
      <c r="J29" s="274">
        <f t="shared" si="1"/>
        <v>0</v>
      </c>
    </row>
    <row r="30" spans="1:10">
      <c r="A30" s="228"/>
      <c r="B30" s="229"/>
      <c r="C30" s="559" t="s">
        <v>50</v>
      </c>
      <c r="D30" s="567"/>
      <c r="E30" s="568">
        <f t="shared" si="0"/>
        <v>0</v>
      </c>
      <c r="F30" s="555"/>
      <c r="G30" s="229" t="s">
        <v>2</v>
      </c>
      <c r="H30" s="229" t="s">
        <v>430</v>
      </c>
      <c r="I30" s="558"/>
      <c r="J30" s="274">
        <f t="shared" si="1"/>
        <v>0</v>
      </c>
    </row>
    <row r="31" spans="1:10">
      <c r="A31" s="228"/>
      <c r="B31" s="229"/>
      <c r="C31" s="559" t="s">
        <v>51</v>
      </c>
      <c r="D31" s="567"/>
      <c r="E31" s="568">
        <f t="shared" si="0"/>
        <v>0</v>
      </c>
      <c r="F31" s="555"/>
      <c r="G31" s="229" t="s">
        <v>2</v>
      </c>
      <c r="H31" s="229" t="s">
        <v>55</v>
      </c>
      <c r="I31" s="558"/>
      <c r="J31" s="274">
        <f t="shared" si="1"/>
        <v>0</v>
      </c>
    </row>
    <row r="32" spans="1:10">
      <c r="A32" s="228"/>
      <c r="B32" s="229" t="s">
        <v>2</v>
      </c>
      <c r="C32" s="229" t="s">
        <v>415</v>
      </c>
      <c r="D32" s="556"/>
      <c r="E32" s="275">
        <f t="shared" si="0"/>
        <v>0</v>
      </c>
      <c r="F32" s="229"/>
      <c r="G32" s="229" t="s">
        <v>2</v>
      </c>
      <c r="H32" s="605" t="s">
        <v>249</v>
      </c>
      <c r="I32" s="609"/>
      <c r="J32" s="274">
        <f t="shared" si="1"/>
        <v>0</v>
      </c>
    </row>
    <row r="33" spans="1:10">
      <c r="A33" s="228"/>
      <c r="B33" s="229" t="s">
        <v>2</v>
      </c>
      <c r="C33" s="229" t="s">
        <v>416</v>
      </c>
      <c r="D33" s="556"/>
      <c r="E33" s="275">
        <f t="shared" si="0"/>
        <v>0</v>
      </c>
      <c r="F33" s="229"/>
      <c r="G33" s="229" t="s">
        <v>2</v>
      </c>
      <c r="H33" s="605" t="s">
        <v>250</v>
      </c>
      <c r="I33" s="609"/>
      <c r="J33" s="274">
        <f t="shared" si="1"/>
        <v>0</v>
      </c>
    </row>
    <row r="34" spans="1:10">
      <c r="A34" s="228"/>
      <c r="B34" s="229" t="s">
        <v>2</v>
      </c>
      <c r="C34" s="229" t="s">
        <v>240</v>
      </c>
      <c r="D34" s="556"/>
      <c r="E34" s="275">
        <f t="shared" si="0"/>
        <v>0</v>
      </c>
      <c r="F34" s="229"/>
      <c r="G34" s="229" t="s">
        <v>2</v>
      </c>
      <c r="H34" s="605" t="s">
        <v>462</v>
      </c>
      <c r="I34" s="609"/>
      <c r="J34" s="274">
        <f t="shared" si="1"/>
        <v>0</v>
      </c>
    </row>
    <row r="35" spans="1:10">
      <c r="A35" s="228"/>
      <c r="B35" s="229" t="s">
        <v>2</v>
      </c>
      <c r="C35" s="229" t="s">
        <v>417</v>
      </c>
      <c r="D35" s="556"/>
      <c r="E35" s="275">
        <f t="shared" si="0"/>
        <v>0</v>
      </c>
      <c r="F35" s="229"/>
      <c r="G35" s="229" t="s">
        <v>2</v>
      </c>
      <c r="H35" s="605" t="s">
        <v>56</v>
      </c>
      <c r="I35" s="609"/>
      <c r="J35" s="274">
        <f t="shared" si="1"/>
        <v>0</v>
      </c>
    </row>
    <row r="36" spans="1:10">
      <c r="A36" s="228"/>
      <c r="B36" s="229" t="s">
        <v>2</v>
      </c>
      <c r="C36" s="229" t="s">
        <v>422</v>
      </c>
      <c r="D36" s="556"/>
      <c r="E36" s="275">
        <f t="shared" si="0"/>
        <v>0</v>
      </c>
      <c r="F36" s="229"/>
      <c r="G36" s="229" t="s">
        <v>2</v>
      </c>
      <c r="H36" s="229" t="s">
        <v>172</v>
      </c>
      <c r="I36" s="558"/>
      <c r="J36" s="274">
        <f t="shared" si="1"/>
        <v>0</v>
      </c>
    </row>
    <row r="37" spans="1:10">
      <c r="A37" s="228"/>
      <c r="B37" s="229" t="s">
        <v>2</v>
      </c>
      <c r="C37" s="229" t="s">
        <v>411</v>
      </c>
      <c r="D37" s="556"/>
      <c r="E37" s="275">
        <f t="shared" si="0"/>
        <v>0</v>
      </c>
      <c r="F37" s="229"/>
      <c r="G37" s="606"/>
      <c r="H37" s="606"/>
      <c r="I37" s="607"/>
      <c r="J37" s="608"/>
    </row>
    <row r="38" spans="1:10">
      <c r="A38" s="228"/>
      <c r="B38" s="229" t="s">
        <v>2</v>
      </c>
      <c r="C38" s="229" t="s">
        <v>412</v>
      </c>
      <c r="D38" s="556"/>
      <c r="E38" s="275">
        <f t="shared" si="0"/>
        <v>0</v>
      </c>
      <c r="F38" s="229"/>
      <c r="G38" s="606"/>
      <c r="H38" s="606"/>
      <c r="I38" s="607"/>
      <c r="J38" s="608"/>
    </row>
    <row r="39" spans="1:10" ht="18.75" thickBot="1">
      <c r="A39" s="546"/>
      <c r="B39" s="547" t="s">
        <v>2</v>
      </c>
      <c r="C39" s="548" t="s">
        <v>413</v>
      </c>
      <c r="D39" s="565"/>
      <c r="E39" s="566">
        <f t="shared" si="0"/>
        <v>0</v>
      </c>
      <c r="F39" s="229"/>
      <c r="G39" s="229"/>
      <c r="H39" s="229"/>
      <c r="I39" s="598"/>
      <c r="J39" s="274"/>
    </row>
    <row r="40" spans="1:10" ht="18.75" thickBot="1">
      <c r="A40" s="938" t="s">
        <v>70</v>
      </c>
      <c r="B40" s="939"/>
      <c r="C40" s="940"/>
      <c r="D40" s="233">
        <f>D3+D25</f>
        <v>0</v>
      </c>
      <c r="E40" s="278">
        <f t="shared" si="0"/>
        <v>0</v>
      </c>
      <c r="F40" s="933" t="s">
        <v>297</v>
      </c>
      <c r="G40" s="933"/>
      <c r="H40" s="933"/>
      <c r="I40" s="222">
        <f>I3+I16+I25</f>
        <v>0</v>
      </c>
      <c r="J40" s="280">
        <f t="shared" si="1"/>
        <v>0</v>
      </c>
    </row>
    <row r="42" spans="1:10">
      <c r="A42" s="606"/>
      <c r="B42" s="606"/>
      <c r="C42" s="606"/>
      <c r="D42" s="606"/>
      <c r="E42" s="606"/>
      <c r="F42" s="606"/>
      <c r="G42" s="606"/>
      <c r="H42" s="606"/>
      <c r="I42" s="606"/>
      <c r="J42" s="606"/>
    </row>
  </sheetData>
  <sheetProtection formatColumns="0"/>
  <mergeCells count="4">
    <mergeCell ref="F40:H40"/>
    <mergeCell ref="A2:J2"/>
    <mergeCell ref="A1:J1"/>
    <mergeCell ref="A40:C40"/>
  </mergeCells>
  <phoneticPr fontId="4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headerFooter>
    <oddHeader>&amp;C&amp;14&amp;U&amp;A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3:P375"/>
  <sheetViews>
    <sheetView view="pageLayout" topLeftCell="A202" zoomScaleNormal="100" workbookViewId="0">
      <selection activeCell="C225" sqref="C225"/>
    </sheetView>
  </sheetViews>
  <sheetFormatPr baseColWidth="10" defaultColWidth="0" defaultRowHeight="15.75"/>
  <cols>
    <col min="1" max="1" width="11" customWidth="1"/>
    <col min="2" max="2" width="38.75" bestFit="1" customWidth="1"/>
    <col min="3" max="8" width="11" customWidth="1"/>
    <col min="9" max="9" width="24.625" hidden="1" customWidth="1"/>
    <col min="10" max="10" width="14.5" hidden="1" customWidth="1"/>
    <col min="11" max="11" width="12.25" hidden="1" customWidth="1"/>
    <col min="12" max="12" width="15" hidden="1" customWidth="1"/>
  </cols>
  <sheetData>
    <row r="3" spans="2:16" ht="17.25" customHeight="1"/>
    <row r="4" spans="2:16" ht="15.75" customHeight="1"/>
    <row r="5" spans="2:16" ht="15.75" customHeight="1">
      <c r="N5" s="678"/>
      <c r="O5" s="678"/>
      <c r="P5" s="678"/>
    </row>
    <row r="6" spans="2:16" ht="16.5">
      <c r="N6" s="678"/>
      <c r="O6" s="678"/>
      <c r="P6" s="678"/>
    </row>
    <row r="7" spans="2:16" ht="30.75" customHeight="1">
      <c r="N7" s="678"/>
      <c r="O7" s="678"/>
      <c r="P7" s="678"/>
    </row>
    <row r="8" spans="2:16" ht="16.5">
      <c r="N8" s="678"/>
      <c r="O8" s="678"/>
      <c r="P8" s="678"/>
    </row>
    <row r="9" spans="2:16" ht="15.75" customHeight="1">
      <c r="N9" s="678"/>
      <c r="O9" s="678"/>
      <c r="P9" s="678"/>
    </row>
    <row r="10" spans="2:16" ht="16.5">
      <c r="N10" s="678"/>
      <c r="O10" s="678"/>
      <c r="P10" s="678"/>
    </row>
    <row r="11" spans="2:16" ht="16.5">
      <c r="N11" s="678"/>
      <c r="O11" s="678"/>
      <c r="P11" s="678"/>
    </row>
    <row r="12" spans="2:16" ht="16.5">
      <c r="N12" s="678"/>
      <c r="O12" s="678"/>
      <c r="P12" s="678"/>
    </row>
    <row r="13" spans="2:16" ht="16.5">
      <c r="N13" s="678"/>
      <c r="O13" s="678"/>
      <c r="P13" s="678"/>
    </row>
    <row r="14" spans="2:16" ht="16.5">
      <c r="N14" s="678"/>
      <c r="O14" s="678"/>
      <c r="P14" s="678"/>
    </row>
    <row r="15" spans="2:16" ht="16.5">
      <c r="B15" s="1095" t="s">
        <v>474</v>
      </c>
      <c r="C15" s="1096"/>
      <c r="D15" s="1096"/>
      <c r="E15" s="1096"/>
      <c r="F15" s="1096"/>
      <c r="G15" s="1096"/>
      <c r="N15" s="678"/>
      <c r="O15" s="678"/>
      <c r="P15" s="678"/>
    </row>
    <row r="16" spans="2:16" ht="16.5">
      <c r="N16" s="678"/>
      <c r="O16" s="678"/>
      <c r="P16" s="678"/>
    </row>
    <row r="17" spans="2:16" ht="18.75">
      <c r="B17" s="700">
        <f>Inicio!$D$15</f>
        <v>0</v>
      </c>
      <c r="N17" s="678"/>
      <c r="O17" s="678"/>
      <c r="P17" s="678"/>
    </row>
    <row r="18" spans="2:16" ht="16.5">
      <c r="N18" s="678"/>
      <c r="O18" s="678"/>
      <c r="P18" s="678"/>
    </row>
    <row r="19" spans="2:16" ht="15.75" customHeight="1">
      <c r="N19" s="678"/>
      <c r="O19" s="678"/>
      <c r="P19" s="678"/>
    </row>
    <row r="20" spans="2:16" ht="16.5">
      <c r="N20" s="678"/>
      <c r="O20" s="678"/>
      <c r="P20" s="678"/>
    </row>
    <row r="21" spans="2:16" ht="16.5">
      <c r="N21" s="678"/>
      <c r="O21" s="678"/>
      <c r="P21" s="678"/>
    </row>
    <row r="22" spans="2:16" ht="16.5">
      <c r="N22" s="678"/>
      <c r="O22" s="678"/>
      <c r="P22" s="678"/>
    </row>
    <row r="23" spans="2:16" ht="16.5">
      <c r="N23" s="678"/>
      <c r="O23" s="678"/>
      <c r="P23" s="678"/>
    </row>
    <row r="24" spans="2:16" ht="17.25" customHeight="1">
      <c r="N24" s="678"/>
      <c r="O24" s="678"/>
      <c r="P24" s="678"/>
    </row>
    <row r="31" spans="2:16" ht="16.5">
      <c r="B31" s="677" t="str">
        <f>Inicio!B15</f>
        <v>Nombre de la empresa/proyecto</v>
      </c>
      <c r="C31" s="678">
        <f>Inicio!D15</f>
        <v>0</v>
      </c>
    </row>
    <row r="32" spans="2:16" ht="16.5">
      <c r="B32" s="677" t="str">
        <f>Inicio!B16</f>
        <v>Domicilio</v>
      </c>
      <c r="C32" s="678">
        <f>Inicio!D16</f>
        <v>0</v>
      </c>
    </row>
    <row r="33" spans="2:4" ht="16.5">
      <c r="B33" s="677" t="str">
        <f>Inicio!B17</f>
        <v>Localidad</v>
      </c>
      <c r="C33" s="678">
        <f>Inicio!D17</f>
        <v>0</v>
      </c>
    </row>
    <row r="39" spans="2:4">
      <c r="B39" s="682" t="str">
        <f>Inicio!B21</f>
        <v>I.V.A. soportado en las inversiones</v>
      </c>
      <c r="C39" s="682"/>
      <c r="D39" s="675">
        <f>Inicio!D21</f>
        <v>0.21</v>
      </c>
    </row>
    <row r="40" spans="2:4">
      <c r="B40" s="682" t="str">
        <f>Inicio!B22</f>
        <v>I.V.A. soportado medio en las compras</v>
      </c>
      <c r="C40" s="682"/>
      <c r="D40" s="675">
        <f>Inicio!D22</f>
        <v>0.21</v>
      </c>
    </row>
    <row r="41" spans="2:4">
      <c r="B41" s="682" t="str">
        <f>Inicio!B23</f>
        <v>I.V.A. soportado medio en los gastos de estructura</v>
      </c>
      <c r="C41" s="682"/>
      <c r="D41" s="675">
        <f>Inicio!D23</f>
        <v>0.21</v>
      </c>
    </row>
    <row r="42" spans="2:4">
      <c r="B42" s="680"/>
      <c r="C42" s="680"/>
      <c r="D42" s="679"/>
    </row>
    <row r="43" spans="2:4">
      <c r="B43" s="682" t="str">
        <f>Inicio!B25</f>
        <v>I.V.A. repercutido medio en las ventas e ingresos</v>
      </c>
      <c r="C43" s="682"/>
      <c r="D43" s="675">
        <f>Inicio!D25</f>
        <v>0.21</v>
      </c>
    </row>
    <row r="44" spans="2:4">
      <c r="B44" s="680"/>
      <c r="C44" s="680"/>
      <c r="D44" s="679"/>
    </row>
    <row r="45" spans="2:4">
      <c r="B45" s="682" t="str">
        <f>Inicio!B27</f>
        <v>Importe medio cotización S.S. autónomos</v>
      </c>
      <c r="C45" s="682"/>
      <c r="D45" s="676">
        <f>Inicio!D27</f>
        <v>0.3</v>
      </c>
    </row>
    <row r="46" spans="2:4">
      <c r="B46" s="682" t="str">
        <f>Inicio!B28</f>
        <v>Tipo medio cotización S.S. trabajadores</v>
      </c>
      <c r="C46" s="682"/>
      <c r="D46" s="676">
        <f>Inicio!D28</f>
        <v>0.33</v>
      </c>
    </row>
    <row r="47" spans="2:4">
      <c r="B47" s="680"/>
      <c r="C47" s="680"/>
      <c r="D47" s="680"/>
    </row>
    <row r="48" spans="2:4">
      <c r="B48" s="682" t="str">
        <f>Inicio!B30</f>
        <v>Tipo impositivo medio estimado</v>
      </c>
      <c r="C48" s="682"/>
      <c r="D48" s="675">
        <f>Inicio!D30</f>
        <v>0.25</v>
      </c>
    </row>
    <row r="49" spans="2:4" ht="18">
      <c r="B49" s="682" t="str">
        <f>Inicio!B31</f>
        <v>Tipo retención I.R.P.F. medio estimado</v>
      </c>
      <c r="C49" s="683"/>
      <c r="D49" s="675">
        <f>Inicio!D31</f>
        <v>0.1</v>
      </c>
    </row>
    <row r="50" spans="2:4" ht="18">
      <c r="B50" s="680"/>
      <c r="C50" s="681"/>
      <c r="D50" s="497">
        <f>Inicio!D32</f>
        <v>0</v>
      </c>
    </row>
    <row r="51" spans="2:4" ht="18">
      <c r="B51" s="682" t="str">
        <f>Inicio!B33</f>
        <v>Dividendos a repartir (%)</v>
      </c>
      <c r="C51" s="683"/>
      <c r="D51" s="675">
        <f>Inicio!D33</f>
        <v>0</v>
      </c>
    </row>
    <row r="85" spans="2:2" ht="18">
      <c r="B85" s="694"/>
    </row>
    <row r="143" spans="2:2" ht="18">
      <c r="B143" s="694"/>
    </row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</sheetData>
  <mergeCells count="1">
    <mergeCell ref="B15:G15"/>
  </mergeCells>
  <phoneticPr fontId="47" type="noConversion"/>
  <pageMargins left="0.75" right="0.75" top="1" bottom="1" header="0" footer="0"/>
  <pageSetup paperSize="9" orientation="landscape" r:id="rId1"/>
  <headerFooter alignWithMargins="0">
    <oddHeader xml:space="preserve">&amp;C
</oddHeader>
    <oddFooter xml:space="preserve">&amp;R&amp;"Trebuchet MS,Negrita"&amp;9&amp;K03+055Análisis Económico - Financiero&amp;"Trebuchet MS,Normal" - Página  &amp;P   </oddFooter>
  </headerFooter>
  <rowBreaks count="1" manualBreakCount="1">
    <brk id="2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8" r:id="rId4" name="Group Box 4">
              <controlPr defaultSize="0" autoFill="0" autoPict="0">
                <anchor moveWithCells="1">
                  <from>
                    <xdr:col>0</xdr:col>
                    <xdr:colOff>714375</xdr:colOff>
                    <xdr:row>36</xdr:row>
                    <xdr:rowOff>114300</xdr:rowOff>
                  </from>
                  <to>
                    <xdr:col>4</xdr:col>
                    <xdr:colOff>171450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63" r:id="rId5" name="Button 679">
              <controlPr defaultSize="0" print="0" autoFill="0" autoPict="0" macro="[0]!Inicio">
                <anchor moveWithCells="1" sizeWithCells="1">
                  <from>
                    <xdr:col>1</xdr:col>
                    <xdr:colOff>38100</xdr:colOff>
                    <xdr:row>2</xdr:row>
                    <xdr:rowOff>9525</xdr:rowOff>
                  </from>
                  <to>
                    <xdr:col>1</xdr:col>
                    <xdr:colOff>1228725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6" name="Group Box 2">
              <controlPr defaultSize="0" autoFill="0" autoPict="0">
                <anchor moveWithCells="1">
                  <from>
                    <xdr:col>0</xdr:col>
                    <xdr:colOff>638175</xdr:colOff>
                    <xdr:row>29</xdr:row>
                    <xdr:rowOff>142875</xdr:rowOff>
                  </from>
                  <to>
                    <xdr:col>6</xdr:col>
                    <xdr:colOff>676275</xdr:colOff>
                    <xdr:row>34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8:X57"/>
  <sheetViews>
    <sheetView topLeftCell="A22" workbookViewId="0">
      <selection activeCell="J37" sqref="J37"/>
    </sheetView>
  </sheetViews>
  <sheetFormatPr baseColWidth="10" defaultRowHeight="15.75"/>
  <cols>
    <col min="2" max="2" width="2.375" customWidth="1"/>
    <col min="3" max="3" width="2.75" customWidth="1"/>
    <col min="4" max="4" width="20.375" customWidth="1"/>
    <col min="5" max="5" width="2.25" customWidth="1"/>
    <col min="9" max="9" width="11.625" customWidth="1"/>
  </cols>
  <sheetData>
    <row r="8" spans="2:24" ht="17.25" customHeight="1">
      <c r="B8" s="684" t="str">
        <f>Inversiones!A2</f>
        <v>PRESUPUESTOS DE INVERSIÓN</v>
      </c>
      <c r="C8" s="684"/>
      <c r="D8" s="684"/>
      <c r="E8" s="684"/>
      <c r="F8" s="684"/>
      <c r="G8" s="684"/>
      <c r="H8" s="684"/>
      <c r="I8" s="684"/>
      <c r="J8" s="684"/>
      <c r="K8" s="684"/>
      <c r="L8" s="684"/>
      <c r="M8" s="684"/>
      <c r="N8" s="684"/>
      <c r="O8" s="684"/>
      <c r="P8" s="684"/>
      <c r="Q8" s="684"/>
      <c r="R8" s="684"/>
      <c r="S8" s="684"/>
      <c r="T8" s="684"/>
      <c r="U8" s="684"/>
      <c r="V8" s="684"/>
      <c r="W8" s="684"/>
      <c r="X8" s="684"/>
    </row>
    <row r="9" spans="2:24" ht="15.75" customHeight="1">
      <c r="B9" s="685"/>
      <c r="C9" s="685"/>
      <c r="D9" s="685"/>
      <c r="E9" s="685"/>
      <c r="F9" s="701" t="str">
        <f>Inversiones!E3</f>
        <v>INVERSIONES INICIALES</v>
      </c>
      <c r="G9" s="701"/>
      <c r="H9" s="701"/>
      <c r="I9" s="701"/>
      <c r="J9" s="684" t="str">
        <f>Inversiones!I3</f>
        <v>AÑO 1</v>
      </c>
      <c r="K9" s="684"/>
      <c r="L9" s="684"/>
      <c r="M9" s="684" t="str">
        <f>Inversiones!L3</f>
        <v>AÑO 2</v>
      </c>
      <c r="N9" s="684"/>
      <c r="O9" s="684"/>
      <c r="P9" s="684" t="str">
        <f>Inversiones!O3</f>
        <v>AÑO 3</v>
      </c>
      <c r="Q9" s="684"/>
      <c r="R9" s="684"/>
      <c r="S9" s="684" t="str">
        <f>Inversiones!R3</f>
        <v>AÑO 4</v>
      </c>
      <c r="T9" s="684"/>
      <c r="U9" s="684"/>
      <c r="V9" s="684" t="str">
        <f>Inversiones!U3</f>
        <v>AÑO 5</v>
      </c>
      <c r="W9" s="684"/>
      <c r="X9" s="684"/>
    </row>
    <row r="10" spans="2:24" ht="15.75" customHeight="1">
      <c r="B10" s="686"/>
      <c r="C10" s="686"/>
      <c r="D10" s="686"/>
      <c r="E10" s="686"/>
      <c r="F10" s="701" t="str">
        <f>Inversiones!E4</f>
        <v>EMPRESAS EXISTENTES</v>
      </c>
      <c r="G10" s="701"/>
      <c r="H10" s="701">
        <f>Inversiones!G4</f>
        <v>0</v>
      </c>
      <c r="I10" s="701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4"/>
      <c r="U10" s="684"/>
      <c r="V10" s="684"/>
      <c r="W10" s="684"/>
      <c r="X10" s="684"/>
    </row>
    <row r="11" spans="2:24" ht="24.75" customHeight="1">
      <c r="B11" s="1097" t="str">
        <f>Inversiones!A5</f>
        <v>PARTIDAS</v>
      </c>
      <c r="C11" s="1098"/>
      <c r="D11" s="1098"/>
      <c r="E11" s="1099"/>
      <c r="F11" s="696" t="str">
        <f>Inversiones!E5</f>
        <v>IMPORTE INVERSIÓN</v>
      </c>
      <c r="G11" s="697" t="str">
        <f>Inversiones!F5</f>
        <v>RESTO VIDA ÚTIL</v>
      </c>
      <c r="H11" s="696" t="str">
        <f>Inversiones!G5</f>
        <v>IMPORTE INVERSIÓN</v>
      </c>
      <c r="I11" s="697" t="str">
        <f>Inversiones!H5</f>
        <v>VIDA ÚTIL</v>
      </c>
      <c r="J11" s="696" t="str">
        <f>Inversiones!I5</f>
        <v>IMPORTE INVERSIÓN</v>
      </c>
      <c r="K11" s="697" t="str">
        <f>Inversiones!J5</f>
        <v>VIDA ÚTIL</v>
      </c>
      <c r="L11" s="698" t="str">
        <f>Inversiones!K5</f>
        <v>CUOTA AMORT.</v>
      </c>
      <c r="M11" s="696" t="str">
        <f>Inversiones!L5</f>
        <v>IMPORTE INVERSIÓN</v>
      </c>
      <c r="N11" s="697" t="str">
        <f>Inversiones!M5</f>
        <v>VIDA ÚTIL</v>
      </c>
      <c r="O11" s="698" t="str">
        <f>Inversiones!N5</f>
        <v>CUOTA AMORT.</v>
      </c>
      <c r="P11" s="696" t="str">
        <f>Inversiones!O5</f>
        <v>IMPORTE INVERSIÓN</v>
      </c>
      <c r="Q11" s="697" t="str">
        <f>Inversiones!P5</f>
        <v>VIDA ÚTIL</v>
      </c>
      <c r="R11" s="698" t="str">
        <f>Inversiones!Q5</f>
        <v>CUOTA AMORT.</v>
      </c>
      <c r="S11" s="696" t="str">
        <f>Inversiones!R5</f>
        <v>IMPORTE INVERSIÓN</v>
      </c>
      <c r="T11" s="697" t="str">
        <f>Inversiones!S5</f>
        <v>VIDA ÚTIL</v>
      </c>
      <c r="U11" s="698" t="str">
        <f>Inversiones!T5</f>
        <v>CUOTA AMORT.</v>
      </c>
      <c r="V11" s="696" t="str">
        <f>Inversiones!U5</f>
        <v>IMPORTE INVERSIÓN</v>
      </c>
      <c r="W11" s="697" t="str">
        <f>Inversiones!V5</f>
        <v>VIDA ÚTIL</v>
      </c>
      <c r="X11" s="699" t="str">
        <f>Inversiones!W5</f>
        <v>CUOTA AMORT.</v>
      </c>
    </row>
    <row r="12" spans="2:24" ht="17.25" customHeight="1">
      <c r="B12" s="1100" t="str">
        <f>Inversiones!A6</f>
        <v xml:space="preserve"> *</v>
      </c>
      <c r="C12" s="1101"/>
      <c r="D12" s="1101"/>
      <c r="E12" s="1102"/>
      <c r="F12" s="571">
        <f>Inversiones!E6</f>
        <v>0</v>
      </c>
      <c r="G12" s="574">
        <f>Inversiones!F6</f>
        <v>0</v>
      </c>
      <c r="H12" s="571">
        <f>Inversiones!G6</f>
        <v>0</v>
      </c>
      <c r="I12" s="574">
        <f>Inversiones!H6</f>
        <v>0</v>
      </c>
      <c r="J12" s="571">
        <f>Inversiones!I6</f>
        <v>0</v>
      </c>
      <c r="K12" s="574">
        <f>Inversiones!J6</f>
        <v>0</v>
      </c>
      <c r="L12" s="575">
        <f>Inversiones!K6</f>
        <v>0</v>
      </c>
      <c r="M12" s="571">
        <f>Inversiones!L6</f>
        <v>0</v>
      </c>
      <c r="N12" s="576">
        <f>Inversiones!M6</f>
        <v>0</v>
      </c>
      <c r="O12" s="575">
        <f>Inversiones!N6</f>
        <v>0</v>
      </c>
      <c r="P12" s="571">
        <f>Inversiones!O6</f>
        <v>0</v>
      </c>
      <c r="Q12" s="576">
        <f>Inversiones!P6</f>
        <v>0</v>
      </c>
      <c r="R12" s="575">
        <f>Inversiones!Q6</f>
        <v>0</v>
      </c>
      <c r="S12" s="571">
        <f>Inversiones!R6</f>
        <v>0</v>
      </c>
      <c r="T12" s="576">
        <f>Inversiones!S6</f>
        <v>0</v>
      </c>
      <c r="U12" s="575">
        <f>Inversiones!T6</f>
        <v>0</v>
      </c>
      <c r="V12" s="571">
        <f>Inversiones!U6</f>
        <v>0</v>
      </c>
      <c r="W12" s="576">
        <f>Inversiones!V6</f>
        <v>0</v>
      </c>
      <c r="X12" s="577">
        <f>Inversiones!W6</f>
        <v>0</v>
      </c>
    </row>
    <row r="13" spans="2:24" ht="17.25" customHeight="1">
      <c r="B13" s="690"/>
      <c r="C13" s="690" t="str">
        <f>Inversiones!B7</f>
        <v xml:space="preserve"> -</v>
      </c>
      <c r="D13" s="690" t="str">
        <f>Inversiones!C7</f>
        <v>Aplicaciones informáticas</v>
      </c>
      <c r="E13" s="690"/>
      <c r="F13" s="572">
        <f>Inversiones!E7</f>
        <v>0</v>
      </c>
      <c r="G13" s="663">
        <f>Inversiones!F7</f>
        <v>3</v>
      </c>
      <c r="H13" s="579">
        <f>Inversiones!G7</f>
        <v>0</v>
      </c>
      <c r="I13" s="663">
        <f>Inversiones!H7</f>
        <v>3</v>
      </c>
      <c r="J13" s="579">
        <f>Inversiones!I7</f>
        <v>0</v>
      </c>
      <c r="K13" s="663">
        <f>Inversiones!J7</f>
        <v>3</v>
      </c>
      <c r="L13" s="578">
        <f>Inversiones!K7</f>
        <v>0</v>
      </c>
      <c r="M13" s="579">
        <f>Inversiones!L7</f>
        <v>0</v>
      </c>
      <c r="N13" s="663">
        <f>Inversiones!M7</f>
        <v>3</v>
      </c>
      <c r="O13" s="578">
        <f>Inversiones!N7</f>
        <v>0</v>
      </c>
      <c r="P13" s="579">
        <f>Inversiones!O7</f>
        <v>0</v>
      </c>
      <c r="Q13" s="663">
        <f>Inversiones!P7</f>
        <v>3</v>
      </c>
      <c r="R13" s="578">
        <f>Inversiones!Q7</f>
        <v>0</v>
      </c>
      <c r="S13" s="579">
        <f>Inversiones!R7</f>
        <v>0</v>
      </c>
      <c r="T13" s="663">
        <f>Inversiones!S7</f>
        <v>3</v>
      </c>
      <c r="U13" s="578">
        <f>Inversiones!T7</f>
        <v>0</v>
      </c>
      <c r="V13" s="579">
        <f>Inversiones!U7</f>
        <v>0</v>
      </c>
      <c r="W13" s="663">
        <f>Inversiones!V7</f>
        <v>3</v>
      </c>
      <c r="X13" s="580">
        <f>Inversiones!W7</f>
        <v>0</v>
      </c>
    </row>
    <row r="14" spans="2:24" ht="29.25" customHeight="1">
      <c r="B14" s="690"/>
      <c r="C14" s="690" t="str">
        <f>Inversiones!B8</f>
        <v xml:space="preserve"> -</v>
      </c>
      <c r="D14" s="690" t="str">
        <f>Inversiones!C8</f>
        <v>Inmovilizaciones realizadas por la propia empresa</v>
      </c>
      <c r="E14" s="690"/>
      <c r="F14" s="572">
        <f>Inversiones!E8</f>
        <v>0</v>
      </c>
      <c r="G14" s="663">
        <f>Inversiones!F8</f>
        <v>5</v>
      </c>
      <c r="H14" s="640">
        <f>Inversiones!G8</f>
        <v>0</v>
      </c>
      <c r="I14" s="663">
        <f>Inversiones!H8</f>
        <v>5</v>
      </c>
      <c r="J14" s="640">
        <f>Inversiones!I8</f>
        <v>0</v>
      </c>
      <c r="K14" s="663">
        <f>Inversiones!J8</f>
        <v>5</v>
      </c>
      <c r="L14" s="578">
        <f>Inversiones!K8</f>
        <v>0</v>
      </c>
      <c r="M14" s="640">
        <f>Inversiones!L8</f>
        <v>0</v>
      </c>
      <c r="N14" s="663">
        <f>Inversiones!M8</f>
        <v>5</v>
      </c>
      <c r="O14" s="578">
        <f>Inversiones!N8</f>
        <v>0</v>
      </c>
      <c r="P14" s="640">
        <f>Inversiones!O8</f>
        <v>0</v>
      </c>
      <c r="Q14" s="663">
        <f>Inversiones!P8</f>
        <v>5</v>
      </c>
      <c r="R14" s="578">
        <f>Inversiones!Q8</f>
        <v>0</v>
      </c>
      <c r="S14" s="640">
        <f>Inversiones!R8</f>
        <v>0</v>
      </c>
      <c r="T14" s="663">
        <f>Inversiones!S8</f>
        <v>5</v>
      </c>
      <c r="U14" s="578">
        <f>Inversiones!T8</f>
        <v>0</v>
      </c>
      <c r="V14" s="640">
        <f>Inversiones!U8</f>
        <v>0</v>
      </c>
      <c r="W14" s="663">
        <f>Inversiones!V8</f>
        <v>5</v>
      </c>
      <c r="X14" s="580">
        <f>Inversiones!W8</f>
        <v>0</v>
      </c>
    </row>
    <row r="15" spans="2:24" ht="17.25" customHeight="1">
      <c r="B15" s="691"/>
      <c r="C15" s="691" t="str">
        <f>Inversiones!B9</f>
        <v xml:space="preserve"> -</v>
      </c>
      <c r="D15" s="691" t="str">
        <f>Inversiones!C9</f>
        <v>Otras inversiones intangibles</v>
      </c>
      <c r="E15" s="691"/>
      <c r="F15" s="572">
        <f>Inversiones!E9</f>
        <v>0</v>
      </c>
      <c r="G15" s="663">
        <f>Inversiones!F9</f>
        <v>5</v>
      </c>
      <c r="H15" s="579">
        <f>Inversiones!G9</f>
        <v>0</v>
      </c>
      <c r="I15" s="663">
        <f>Inversiones!H9</f>
        <v>5</v>
      </c>
      <c r="J15" s="579">
        <f>Inversiones!I9</f>
        <v>0</v>
      </c>
      <c r="K15" s="663">
        <f>Inversiones!J9</f>
        <v>5</v>
      </c>
      <c r="L15" s="578">
        <f>Inversiones!K9</f>
        <v>0</v>
      </c>
      <c r="M15" s="579">
        <f>Inversiones!L9</f>
        <v>0</v>
      </c>
      <c r="N15" s="663">
        <f>Inversiones!M9</f>
        <v>5</v>
      </c>
      <c r="O15" s="578">
        <f>Inversiones!N9</f>
        <v>0</v>
      </c>
      <c r="P15" s="579">
        <f>Inversiones!O9</f>
        <v>0</v>
      </c>
      <c r="Q15" s="663">
        <f>Inversiones!P9</f>
        <v>5</v>
      </c>
      <c r="R15" s="578">
        <f>Inversiones!Q9</f>
        <v>0</v>
      </c>
      <c r="S15" s="579">
        <f>Inversiones!R9</f>
        <v>0</v>
      </c>
      <c r="T15" s="663">
        <f>Inversiones!S9</f>
        <v>5</v>
      </c>
      <c r="U15" s="578">
        <f>Inversiones!T9</f>
        <v>0</v>
      </c>
      <c r="V15" s="579">
        <f>Inversiones!U9</f>
        <v>0</v>
      </c>
      <c r="W15" s="663">
        <f>Inversiones!V9</f>
        <v>5</v>
      </c>
      <c r="X15" s="580">
        <f>Inversiones!W9</f>
        <v>0</v>
      </c>
    </row>
    <row r="16" spans="2:24" ht="17.25" customHeight="1">
      <c r="B16" s="690" t="str">
        <f>Inversiones!A10</f>
        <v xml:space="preserve"> *</v>
      </c>
      <c r="C16" s="690"/>
      <c r="D16" s="690" t="str">
        <f>Inversiones!B10</f>
        <v>Material</v>
      </c>
      <c r="E16" s="690"/>
      <c r="F16" s="573">
        <f>Inversiones!E10</f>
        <v>0</v>
      </c>
      <c r="G16" s="581">
        <f>Inversiones!F10</f>
        <v>0</v>
      </c>
      <c r="H16" s="573">
        <f>Inversiones!G10</f>
        <v>0</v>
      </c>
      <c r="I16" s="581">
        <f>Inversiones!H10</f>
        <v>0</v>
      </c>
      <c r="J16" s="573">
        <f>Inversiones!I10</f>
        <v>0</v>
      </c>
      <c r="K16" s="581">
        <f>Inversiones!J10</f>
        <v>0</v>
      </c>
      <c r="L16" s="582">
        <f>Inversiones!K10</f>
        <v>0</v>
      </c>
      <c r="M16" s="573">
        <f>Inversiones!L10</f>
        <v>0</v>
      </c>
      <c r="N16" s="581">
        <f>Inversiones!M10</f>
        <v>0</v>
      </c>
      <c r="O16" s="582">
        <f>Inversiones!N10</f>
        <v>0</v>
      </c>
      <c r="P16" s="573">
        <f>Inversiones!O10</f>
        <v>0</v>
      </c>
      <c r="Q16" s="581">
        <f>Inversiones!P10</f>
        <v>0</v>
      </c>
      <c r="R16" s="582">
        <f>Inversiones!Q10</f>
        <v>0</v>
      </c>
      <c r="S16" s="573">
        <f>Inversiones!R10</f>
        <v>0</v>
      </c>
      <c r="T16" s="581">
        <f>Inversiones!S10</f>
        <v>0</v>
      </c>
      <c r="U16" s="582">
        <f>Inversiones!T10</f>
        <v>0</v>
      </c>
      <c r="V16" s="573">
        <f>Inversiones!U10</f>
        <v>0</v>
      </c>
      <c r="W16" s="581">
        <f>Inversiones!V10</f>
        <v>0</v>
      </c>
      <c r="X16" s="583">
        <f>Inversiones!W10</f>
        <v>0</v>
      </c>
    </row>
    <row r="17" spans="2:24" ht="17.25">
      <c r="B17" s="690"/>
      <c r="C17" s="690" t="str">
        <f>Inversiones!B11</f>
        <v xml:space="preserve"> -</v>
      </c>
      <c r="D17" s="690" t="str">
        <f>Inversiones!C11</f>
        <v>Terrenos</v>
      </c>
      <c r="E17" s="690"/>
      <c r="F17" s="572">
        <f>Inversiones!E11</f>
        <v>0</v>
      </c>
      <c r="G17" s="584">
        <f>Inversiones!F11</f>
        <v>0</v>
      </c>
      <c r="H17" s="579">
        <f>Inversiones!G11</f>
        <v>0</v>
      </c>
      <c r="I17" s="584">
        <f>Inversiones!H11</f>
        <v>0</v>
      </c>
      <c r="J17" s="579">
        <f>Inversiones!I11</f>
        <v>0</v>
      </c>
      <c r="K17" s="584">
        <f>Inversiones!J11</f>
        <v>0</v>
      </c>
      <c r="L17" s="578">
        <f>Inversiones!K11</f>
        <v>0</v>
      </c>
      <c r="M17" s="579">
        <f>Inversiones!L11</f>
        <v>0</v>
      </c>
      <c r="N17" s="584">
        <f>Inversiones!M11</f>
        <v>0</v>
      </c>
      <c r="O17" s="578">
        <f>Inversiones!N11</f>
        <v>0</v>
      </c>
      <c r="P17" s="579">
        <f>Inversiones!O11</f>
        <v>0</v>
      </c>
      <c r="Q17" s="584">
        <f>Inversiones!P11</f>
        <v>0</v>
      </c>
      <c r="R17" s="578">
        <f>Inversiones!Q11</f>
        <v>0</v>
      </c>
      <c r="S17" s="579">
        <f>Inversiones!R11</f>
        <v>0</v>
      </c>
      <c r="T17" s="584">
        <f>Inversiones!S11</f>
        <v>0</v>
      </c>
      <c r="U17" s="578">
        <f>Inversiones!T11</f>
        <v>0</v>
      </c>
      <c r="V17" s="579">
        <f>Inversiones!U11</f>
        <v>0</v>
      </c>
      <c r="W17" s="584">
        <f>Inversiones!V11</f>
        <v>0</v>
      </c>
      <c r="X17" s="580">
        <f>Inversiones!W11</f>
        <v>0</v>
      </c>
    </row>
    <row r="18" spans="2:24" ht="17.25">
      <c r="B18" s="690"/>
      <c r="C18" s="690" t="str">
        <f>Inversiones!B12</f>
        <v xml:space="preserve"> -</v>
      </c>
      <c r="D18" s="690" t="str">
        <f>Inversiones!C12</f>
        <v>Edificaciones</v>
      </c>
      <c r="E18" s="690"/>
      <c r="F18" s="572">
        <f>Inversiones!E12</f>
        <v>0</v>
      </c>
      <c r="G18" s="663">
        <f>Inversiones!F12</f>
        <v>30</v>
      </c>
      <c r="H18" s="579">
        <f>Inversiones!G12</f>
        <v>0</v>
      </c>
      <c r="I18" s="663">
        <f>Inversiones!H12</f>
        <v>30</v>
      </c>
      <c r="J18" s="579">
        <f>Inversiones!I12</f>
        <v>0</v>
      </c>
      <c r="K18" s="663">
        <f>Inversiones!J12</f>
        <v>30</v>
      </c>
      <c r="L18" s="578">
        <f>Inversiones!K12</f>
        <v>0</v>
      </c>
      <c r="M18" s="579">
        <f>Inversiones!L12</f>
        <v>0</v>
      </c>
      <c r="N18" s="663">
        <f>Inversiones!M12</f>
        <v>30</v>
      </c>
      <c r="O18" s="578">
        <f>Inversiones!N12</f>
        <v>0</v>
      </c>
      <c r="P18" s="579">
        <f>Inversiones!O12</f>
        <v>0</v>
      </c>
      <c r="Q18" s="663">
        <f>Inversiones!P12</f>
        <v>30</v>
      </c>
      <c r="R18" s="578">
        <f>Inversiones!Q12</f>
        <v>0</v>
      </c>
      <c r="S18" s="579">
        <f>Inversiones!R12</f>
        <v>0</v>
      </c>
      <c r="T18" s="663">
        <f>Inversiones!S12</f>
        <v>30</v>
      </c>
      <c r="U18" s="578">
        <f>Inversiones!T12</f>
        <v>0</v>
      </c>
      <c r="V18" s="579">
        <f>Inversiones!U12</f>
        <v>0</v>
      </c>
      <c r="W18" s="663">
        <f>Inversiones!V12</f>
        <v>30</v>
      </c>
      <c r="X18" s="580">
        <f>Inversiones!W12</f>
        <v>0</v>
      </c>
    </row>
    <row r="19" spans="2:24" ht="17.25">
      <c r="B19" s="690"/>
      <c r="C19" s="690" t="str">
        <f>Inversiones!B13</f>
        <v xml:space="preserve"> -</v>
      </c>
      <c r="D19" s="690" t="str">
        <f>Inversiones!C13</f>
        <v>Instalaciones</v>
      </c>
      <c r="E19" s="690"/>
      <c r="F19" s="572">
        <f>Inversiones!E13</f>
        <v>0</v>
      </c>
      <c r="G19" s="663">
        <f>Inversiones!F13</f>
        <v>15</v>
      </c>
      <c r="H19" s="579">
        <f>Inversiones!G13</f>
        <v>0</v>
      </c>
      <c r="I19" s="663">
        <f>Inversiones!H13</f>
        <v>15</v>
      </c>
      <c r="J19" s="579">
        <f>Inversiones!I13</f>
        <v>0</v>
      </c>
      <c r="K19" s="663">
        <f>Inversiones!J13</f>
        <v>15</v>
      </c>
      <c r="L19" s="578">
        <f>Inversiones!K13</f>
        <v>0</v>
      </c>
      <c r="M19" s="579">
        <f>Inversiones!L13</f>
        <v>0</v>
      </c>
      <c r="N19" s="663">
        <f>Inversiones!M13</f>
        <v>15</v>
      </c>
      <c r="O19" s="578">
        <f>Inversiones!N13</f>
        <v>0</v>
      </c>
      <c r="P19" s="579">
        <f>Inversiones!O13</f>
        <v>0</v>
      </c>
      <c r="Q19" s="663">
        <f>Inversiones!P13</f>
        <v>15</v>
      </c>
      <c r="R19" s="578">
        <f>Inversiones!Q13</f>
        <v>0</v>
      </c>
      <c r="S19" s="579">
        <f>Inversiones!R13</f>
        <v>0</v>
      </c>
      <c r="T19" s="663">
        <f>Inversiones!S13</f>
        <v>15</v>
      </c>
      <c r="U19" s="578">
        <f>Inversiones!T13</f>
        <v>0</v>
      </c>
      <c r="V19" s="579">
        <f>Inversiones!U13</f>
        <v>0</v>
      </c>
      <c r="W19" s="663">
        <f>Inversiones!V13</f>
        <v>15</v>
      </c>
      <c r="X19" s="580">
        <f>Inversiones!W13</f>
        <v>0</v>
      </c>
    </row>
    <row r="20" spans="2:24" ht="17.25">
      <c r="B20" s="690"/>
      <c r="C20" s="690" t="str">
        <f>Inversiones!B14</f>
        <v xml:space="preserve"> -</v>
      </c>
      <c r="D20" s="690" t="str">
        <f>Inversiones!C14</f>
        <v>Maquinaria</v>
      </c>
      <c r="E20" s="690"/>
      <c r="F20" s="572">
        <f>Inversiones!E14</f>
        <v>0</v>
      </c>
      <c r="G20" s="663">
        <f>Inversiones!F14</f>
        <v>10</v>
      </c>
      <c r="H20" s="579">
        <f>Inversiones!G14</f>
        <v>0</v>
      </c>
      <c r="I20" s="663">
        <f>Inversiones!H14</f>
        <v>10</v>
      </c>
      <c r="J20" s="579">
        <f>Inversiones!I14</f>
        <v>0</v>
      </c>
      <c r="K20" s="663">
        <f>Inversiones!J14</f>
        <v>10</v>
      </c>
      <c r="L20" s="578">
        <f>Inversiones!K14</f>
        <v>0</v>
      </c>
      <c r="M20" s="579">
        <f>Inversiones!L14</f>
        <v>0</v>
      </c>
      <c r="N20" s="663">
        <f>Inversiones!M14</f>
        <v>10</v>
      </c>
      <c r="O20" s="578">
        <f>Inversiones!N14</f>
        <v>0</v>
      </c>
      <c r="P20" s="579">
        <f>Inversiones!O14</f>
        <v>0</v>
      </c>
      <c r="Q20" s="663">
        <f>Inversiones!P14</f>
        <v>10</v>
      </c>
      <c r="R20" s="578">
        <f>Inversiones!Q14</f>
        <v>0</v>
      </c>
      <c r="S20" s="579">
        <f>Inversiones!R14</f>
        <v>0</v>
      </c>
      <c r="T20" s="663">
        <f>Inversiones!S14</f>
        <v>10</v>
      </c>
      <c r="U20" s="578">
        <f>Inversiones!T14</f>
        <v>0</v>
      </c>
      <c r="V20" s="579">
        <f>Inversiones!U14</f>
        <v>0</v>
      </c>
      <c r="W20" s="663">
        <f>Inversiones!V14</f>
        <v>10</v>
      </c>
      <c r="X20" s="580">
        <f>Inversiones!W14</f>
        <v>0</v>
      </c>
    </row>
    <row r="21" spans="2:24" ht="17.25" customHeight="1">
      <c r="B21" s="690"/>
      <c r="C21" s="690" t="str">
        <f>Inversiones!B15</f>
        <v xml:space="preserve"> -</v>
      </c>
      <c r="D21" s="690" t="str">
        <f>Inversiones!C15</f>
        <v>Mobiliario de oficina</v>
      </c>
      <c r="E21" s="690"/>
      <c r="F21" s="572">
        <f>Inversiones!E15</f>
        <v>0</v>
      </c>
      <c r="G21" s="663">
        <f>Inversiones!F15</f>
        <v>10</v>
      </c>
      <c r="H21" s="579">
        <f>Inversiones!G15</f>
        <v>0</v>
      </c>
      <c r="I21" s="663">
        <f>Inversiones!H15</f>
        <v>10</v>
      </c>
      <c r="J21" s="579">
        <f>Inversiones!I15</f>
        <v>0</v>
      </c>
      <c r="K21" s="663">
        <f>Inversiones!J15</f>
        <v>10</v>
      </c>
      <c r="L21" s="578">
        <f>Inversiones!K15</f>
        <v>0</v>
      </c>
      <c r="M21" s="579">
        <f>Inversiones!L15</f>
        <v>0</v>
      </c>
      <c r="N21" s="663">
        <f>Inversiones!M15</f>
        <v>10</v>
      </c>
      <c r="O21" s="578">
        <f>Inversiones!N15</f>
        <v>0</v>
      </c>
      <c r="P21" s="579">
        <f>Inversiones!O15</f>
        <v>0</v>
      </c>
      <c r="Q21" s="663">
        <f>Inversiones!P15</f>
        <v>4</v>
      </c>
      <c r="R21" s="578">
        <f>Inversiones!Q15</f>
        <v>0</v>
      </c>
      <c r="S21" s="579">
        <f>Inversiones!R15</f>
        <v>0</v>
      </c>
      <c r="T21" s="663">
        <f>Inversiones!S15</f>
        <v>4</v>
      </c>
      <c r="U21" s="578">
        <f>Inversiones!T15</f>
        <v>0</v>
      </c>
      <c r="V21" s="579">
        <f>Inversiones!U15</f>
        <v>0</v>
      </c>
      <c r="W21" s="663">
        <f>Inversiones!V15</f>
        <v>4</v>
      </c>
      <c r="X21" s="580">
        <f>Inversiones!W15</f>
        <v>0</v>
      </c>
    </row>
    <row r="22" spans="2:24" ht="17.25" customHeight="1">
      <c r="B22" s="690"/>
      <c r="C22" s="690" t="str">
        <f>Inversiones!B16</f>
        <v xml:space="preserve"> -</v>
      </c>
      <c r="D22" s="690" t="str">
        <f>Inversiones!C16</f>
        <v>Vehículos de transporte</v>
      </c>
      <c r="E22" s="690"/>
      <c r="F22" s="572">
        <f>Inversiones!E16</f>
        <v>0</v>
      </c>
      <c r="G22" s="663">
        <f>Inversiones!F16</f>
        <v>10</v>
      </c>
      <c r="H22" s="579">
        <f>Inversiones!G16</f>
        <v>0</v>
      </c>
      <c r="I22" s="663">
        <f>Inversiones!H16</f>
        <v>10</v>
      </c>
      <c r="J22" s="579">
        <f>Inversiones!I16</f>
        <v>0</v>
      </c>
      <c r="K22" s="663">
        <f>Inversiones!J16</f>
        <v>10</v>
      </c>
      <c r="L22" s="578">
        <f>Inversiones!K16</f>
        <v>0</v>
      </c>
      <c r="M22" s="579">
        <f>Inversiones!L16</f>
        <v>0</v>
      </c>
      <c r="N22" s="663">
        <f>Inversiones!M16</f>
        <v>10</v>
      </c>
      <c r="O22" s="578">
        <f>Inversiones!N16</f>
        <v>0</v>
      </c>
      <c r="P22" s="579">
        <f>Inversiones!O16</f>
        <v>0</v>
      </c>
      <c r="Q22" s="663">
        <f>Inversiones!P16</f>
        <v>10</v>
      </c>
      <c r="R22" s="578">
        <f>Inversiones!Q16</f>
        <v>0</v>
      </c>
      <c r="S22" s="579">
        <f>Inversiones!R16</f>
        <v>0</v>
      </c>
      <c r="T22" s="663">
        <f>Inversiones!S16</f>
        <v>10</v>
      </c>
      <c r="U22" s="578">
        <f>Inversiones!T16</f>
        <v>0</v>
      </c>
      <c r="V22" s="579">
        <f>Inversiones!U16</f>
        <v>0</v>
      </c>
      <c r="W22" s="663">
        <f>Inversiones!V16</f>
        <v>10</v>
      </c>
      <c r="X22" s="580">
        <f>Inversiones!W16</f>
        <v>0</v>
      </c>
    </row>
    <row r="23" spans="2:24" ht="17.25" customHeight="1">
      <c r="B23" s="690"/>
      <c r="C23" s="690" t="str">
        <f>Inversiones!B17</f>
        <v xml:space="preserve"> -</v>
      </c>
      <c r="D23" s="690" t="str">
        <f>Inversiones!C17</f>
        <v>Equipamientos informáticos</v>
      </c>
      <c r="E23" s="690"/>
      <c r="F23" s="572">
        <f>Inversiones!E17</f>
        <v>0</v>
      </c>
      <c r="G23" s="663">
        <f>Inversiones!F17</f>
        <v>4</v>
      </c>
      <c r="H23" s="579">
        <f>Inversiones!G17</f>
        <v>0</v>
      </c>
      <c r="I23" s="663">
        <f>Inversiones!H17</f>
        <v>4</v>
      </c>
      <c r="J23" s="579">
        <f>Inversiones!I17</f>
        <v>0</v>
      </c>
      <c r="K23" s="663">
        <f>Inversiones!J17</f>
        <v>4</v>
      </c>
      <c r="L23" s="578">
        <f>Inversiones!K17</f>
        <v>0</v>
      </c>
      <c r="M23" s="579">
        <f>Inversiones!L17</f>
        <v>0</v>
      </c>
      <c r="N23" s="663">
        <f>Inversiones!M17</f>
        <v>4</v>
      </c>
      <c r="O23" s="578">
        <f>Inversiones!N17</f>
        <v>0</v>
      </c>
      <c r="P23" s="579">
        <f>Inversiones!O17</f>
        <v>0</v>
      </c>
      <c r="Q23" s="663">
        <f>Inversiones!P17</f>
        <v>4</v>
      </c>
      <c r="R23" s="578">
        <f>Inversiones!Q17</f>
        <v>0</v>
      </c>
      <c r="S23" s="579">
        <f>Inversiones!R17</f>
        <v>0</v>
      </c>
      <c r="T23" s="663">
        <f>Inversiones!S17</f>
        <v>4</v>
      </c>
      <c r="U23" s="578">
        <f>Inversiones!T17</f>
        <v>0</v>
      </c>
      <c r="V23" s="579">
        <f>Inversiones!U17</f>
        <v>0</v>
      </c>
      <c r="W23" s="663">
        <f>Inversiones!V17</f>
        <v>4</v>
      </c>
      <c r="X23" s="580">
        <f>Inversiones!W17</f>
        <v>0</v>
      </c>
    </row>
    <row r="24" spans="2:24" ht="27.75" customHeight="1">
      <c r="B24" s="690"/>
      <c r="C24" s="690" t="str">
        <f>Inversiones!B18</f>
        <v xml:space="preserve"> -</v>
      </c>
      <c r="D24" s="690" t="str">
        <f>Inversiones!C18</f>
        <v>Inmovilizaciones realizadas por la propia empresa</v>
      </c>
      <c r="E24" s="690"/>
      <c r="F24" s="572">
        <f>Inversiones!E18</f>
        <v>0</v>
      </c>
      <c r="G24" s="663">
        <f>Inversiones!F18</f>
        <v>10</v>
      </c>
      <c r="H24" s="640">
        <f>Inversiones!G18</f>
        <v>0</v>
      </c>
      <c r="I24" s="663">
        <f>Inversiones!H18</f>
        <v>10</v>
      </c>
      <c r="J24" s="640">
        <f>Inversiones!I18</f>
        <v>0</v>
      </c>
      <c r="K24" s="663">
        <f>Inversiones!J18</f>
        <v>10</v>
      </c>
      <c r="L24" s="578">
        <f>Inversiones!K18</f>
        <v>0</v>
      </c>
      <c r="M24" s="640">
        <f>Inversiones!L18</f>
        <v>0</v>
      </c>
      <c r="N24" s="663">
        <f>Inversiones!M18</f>
        <v>10</v>
      </c>
      <c r="O24" s="578">
        <f>Inversiones!N18</f>
        <v>0</v>
      </c>
      <c r="P24" s="640">
        <f>Inversiones!O18</f>
        <v>0</v>
      </c>
      <c r="Q24" s="663">
        <f>Inversiones!P18</f>
        <v>10</v>
      </c>
      <c r="R24" s="578">
        <f>Inversiones!Q18</f>
        <v>0</v>
      </c>
      <c r="S24" s="640">
        <f>Inversiones!R18</f>
        <v>0</v>
      </c>
      <c r="T24" s="663">
        <f>Inversiones!S18</f>
        <v>10</v>
      </c>
      <c r="U24" s="578">
        <f>Inversiones!T18</f>
        <v>0</v>
      </c>
      <c r="V24" s="640">
        <f>Inversiones!U18</f>
        <v>0</v>
      </c>
      <c r="W24" s="663">
        <f>Inversiones!V18</f>
        <v>10</v>
      </c>
      <c r="X24" s="580">
        <f>Inversiones!W18</f>
        <v>0</v>
      </c>
    </row>
    <row r="25" spans="2:24" ht="17.25" customHeight="1">
      <c r="B25" s="691"/>
      <c r="C25" s="691" t="str">
        <f>Inversiones!B19</f>
        <v xml:space="preserve"> -</v>
      </c>
      <c r="D25" s="691" t="str">
        <f>Inversiones!C19</f>
        <v>Otras inversiones materiales</v>
      </c>
      <c r="E25" s="691"/>
      <c r="F25" s="572">
        <f>Inversiones!E19</f>
        <v>0</v>
      </c>
      <c r="G25" s="663">
        <f>Inversiones!F19</f>
        <v>10</v>
      </c>
      <c r="H25" s="579">
        <f>Inversiones!G19</f>
        <v>0</v>
      </c>
      <c r="I25" s="663">
        <f>Inversiones!H19</f>
        <v>10</v>
      </c>
      <c r="J25" s="579">
        <f>Inversiones!I19</f>
        <v>0</v>
      </c>
      <c r="K25" s="663">
        <f>Inversiones!J19</f>
        <v>10</v>
      </c>
      <c r="L25" s="578">
        <f>Inversiones!K19</f>
        <v>0</v>
      </c>
      <c r="M25" s="579">
        <f>Inversiones!L19</f>
        <v>0</v>
      </c>
      <c r="N25" s="663">
        <f>Inversiones!M19</f>
        <v>10</v>
      </c>
      <c r="O25" s="578">
        <f>Inversiones!N19</f>
        <v>0</v>
      </c>
      <c r="P25" s="579">
        <f>Inversiones!O19</f>
        <v>0</v>
      </c>
      <c r="Q25" s="663">
        <f>Inversiones!P19</f>
        <v>10</v>
      </c>
      <c r="R25" s="578">
        <f>Inversiones!Q19</f>
        <v>0</v>
      </c>
      <c r="S25" s="579">
        <f>Inversiones!R19</f>
        <v>0</v>
      </c>
      <c r="T25" s="663">
        <f>Inversiones!S19</f>
        <v>10</v>
      </c>
      <c r="U25" s="578">
        <f>Inversiones!T19</f>
        <v>0</v>
      </c>
      <c r="V25" s="579">
        <f>Inversiones!U19</f>
        <v>0</v>
      </c>
      <c r="W25" s="663">
        <f>Inversiones!V19</f>
        <v>10</v>
      </c>
      <c r="X25" s="580">
        <f>Inversiones!W19</f>
        <v>0</v>
      </c>
    </row>
    <row r="26" spans="2:24" ht="17.25" customHeight="1">
      <c r="B26" s="690" t="str">
        <f>Inversiones!A20</f>
        <v xml:space="preserve"> *</v>
      </c>
      <c r="C26" s="690" t="str">
        <f>Inversiones!B20</f>
        <v>Financiero</v>
      </c>
      <c r="D26" s="690"/>
      <c r="E26" s="690"/>
      <c r="F26" s="573">
        <f>Inversiones!E20</f>
        <v>0</v>
      </c>
      <c r="G26" s="585">
        <f>Inversiones!F20</f>
        <v>0</v>
      </c>
      <c r="H26" s="573">
        <f>Inversiones!G20</f>
        <v>0</v>
      </c>
      <c r="I26" s="585">
        <f>Inversiones!H20</f>
        <v>0</v>
      </c>
      <c r="J26" s="573">
        <f>Inversiones!I20</f>
        <v>0</v>
      </c>
      <c r="K26" s="585">
        <f>Inversiones!J20</f>
        <v>0</v>
      </c>
      <c r="L26" s="582">
        <f>Inversiones!K20</f>
        <v>0</v>
      </c>
      <c r="M26" s="573">
        <f>Inversiones!L20</f>
        <v>0</v>
      </c>
      <c r="N26" s="581">
        <f>Inversiones!M20</f>
        <v>0</v>
      </c>
      <c r="O26" s="586">
        <f>Inversiones!N20</f>
        <v>0</v>
      </c>
      <c r="P26" s="573">
        <f>Inversiones!O20</f>
        <v>0</v>
      </c>
      <c r="Q26" s="581">
        <f>Inversiones!P20</f>
        <v>0</v>
      </c>
      <c r="R26" s="586">
        <f>Inversiones!Q20</f>
        <v>0</v>
      </c>
      <c r="S26" s="573">
        <f>Inversiones!R20</f>
        <v>0</v>
      </c>
      <c r="T26" s="581">
        <f>Inversiones!S20</f>
        <v>0</v>
      </c>
      <c r="U26" s="586">
        <f>Inversiones!T20</f>
        <v>0</v>
      </c>
      <c r="V26" s="573">
        <f>Inversiones!U20</f>
        <v>0</v>
      </c>
      <c r="W26" s="581">
        <f>Inversiones!V20</f>
        <v>0</v>
      </c>
      <c r="X26" s="587">
        <f>Inversiones!W20</f>
        <v>0</v>
      </c>
    </row>
    <row r="27" spans="2:24" ht="17.25" customHeight="1">
      <c r="B27" s="690"/>
      <c r="C27" s="690" t="str">
        <f>Inversiones!B21</f>
        <v xml:space="preserve"> -</v>
      </c>
      <c r="D27" s="690" t="str">
        <f>Inversiones!C21</f>
        <v>Fianzas constituidas a l/p</v>
      </c>
      <c r="E27" s="690"/>
      <c r="F27" s="572">
        <f>Inversiones!E21</f>
        <v>0</v>
      </c>
      <c r="G27" s="584">
        <f>Inversiones!F21</f>
        <v>0</v>
      </c>
      <c r="H27" s="579">
        <f>Inversiones!G21</f>
        <v>0</v>
      </c>
      <c r="I27" s="584">
        <f>Inversiones!H21</f>
        <v>0</v>
      </c>
      <c r="J27" s="579">
        <f>Inversiones!I21</f>
        <v>0</v>
      </c>
      <c r="K27" s="584">
        <f>Inversiones!J21</f>
        <v>0</v>
      </c>
      <c r="L27" s="578">
        <f>Inversiones!K21</f>
        <v>0</v>
      </c>
      <c r="M27" s="579">
        <f>Inversiones!L21</f>
        <v>0</v>
      </c>
      <c r="N27" s="581">
        <f>Inversiones!M21</f>
        <v>0</v>
      </c>
      <c r="O27" s="586">
        <f>Inversiones!N21</f>
        <v>0</v>
      </c>
      <c r="P27" s="579">
        <f>Inversiones!O21</f>
        <v>0</v>
      </c>
      <c r="Q27" s="581">
        <f>Inversiones!P21</f>
        <v>0</v>
      </c>
      <c r="R27" s="586">
        <f>Inversiones!Q21</f>
        <v>0</v>
      </c>
      <c r="S27" s="579">
        <f>Inversiones!R21</f>
        <v>0</v>
      </c>
      <c r="T27" s="581">
        <f>Inversiones!S21</f>
        <v>0</v>
      </c>
      <c r="U27" s="586">
        <f>Inversiones!T21</f>
        <v>0</v>
      </c>
      <c r="V27" s="579">
        <f>Inversiones!U21</f>
        <v>0</v>
      </c>
      <c r="W27" s="581">
        <f>Inversiones!V21</f>
        <v>0</v>
      </c>
      <c r="X27" s="587">
        <f>Inversiones!W21</f>
        <v>0</v>
      </c>
    </row>
    <row r="28" spans="2:24" ht="18" customHeight="1" thickBot="1">
      <c r="B28" s="692"/>
      <c r="C28" s="692" t="str">
        <f>Inversiones!B22</f>
        <v xml:space="preserve"> -</v>
      </c>
      <c r="D28" s="692" t="str">
        <f>Inversiones!C22</f>
        <v>Otras inversiones financieras</v>
      </c>
      <c r="E28" s="692"/>
      <c r="F28" s="572">
        <f>Inversiones!E22</f>
        <v>0</v>
      </c>
      <c r="G28" s="584">
        <f>Inversiones!F22</f>
        <v>0</v>
      </c>
      <c r="H28" s="579">
        <f>Inversiones!G22</f>
        <v>0</v>
      </c>
      <c r="I28" s="584">
        <f>Inversiones!H22</f>
        <v>0</v>
      </c>
      <c r="J28" s="579">
        <f>Inversiones!I22</f>
        <v>0</v>
      </c>
      <c r="K28" s="584">
        <f>Inversiones!J22</f>
        <v>0</v>
      </c>
      <c r="L28" s="578">
        <f>Inversiones!K22</f>
        <v>0</v>
      </c>
      <c r="M28" s="579">
        <f>Inversiones!L22</f>
        <v>0</v>
      </c>
      <c r="N28" s="581">
        <f>Inversiones!M22</f>
        <v>0</v>
      </c>
      <c r="O28" s="586">
        <f>Inversiones!N22</f>
        <v>0</v>
      </c>
      <c r="P28" s="579">
        <f>Inversiones!O22</f>
        <v>0</v>
      </c>
      <c r="Q28" s="581">
        <f>Inversiones!P22</f>
        <v>0</v>
      </c>
      <c r="R28" s="586">
        <f>Inversiones!Q22</f>
        <v>0</v>
      </c>
      <c r="S28" s="579">
        <f>Inversiones!R22</f>
        <v>0</v>
      </c>
      <c r="T28" s="581">
        <f>Inversiones!S22</f>
        <v>0</v>
      </c>
      <c r="U28" s="586">
        <f>Inversiones!T22</f>
        <v>0</v>
      </c>
      <c r="V28" s="579">
        <f>Inversiones!U22</f>
        <v>0</v>
      </c>
      <c r="W28" s="581">
        <f>Inversiones!V22</f>
        <v>0</v>
      </c>
      <c r="X28" s="587">
        <f>Inversiones!W22</f>
        <v>0</v>
      </c>
    </row>
    <row r="29" spans="2:24" ht="17.25" customHeight="1" thickBot="1">
      <c r="B29" s="693"/>
      <c r="C29" s="693"/>
      <c r="D29" s="693"/>
      <c r="E29" s="693"/>
      <c r="F29" s="320">
        <f>Inversiones!E26</f>
        <v>0</v>
      </c>
      <c r="G29" s="588">
        <f>Inversiones!F26</f>
        <v>0</v>
      </c>
      <c r="H29" s="320">
        <f>Inversiones!G26</f>
        <v>0</v>
      </c>
      <c r="I29" s="588">
        <f>Inversiones!H26</f>
        <v>0</v>
      </c>
      <c r="J29" s="590">
        <f>Inversiones!I26</f>
        <v>0</v>
      </c>
      <c r="K29" s="588">
        <f>Inversiones!J26</f>
        <v>0</v>
      </c>
      <c r="L29" s="589">
        <f>Inversiones!K26</f>
        <v>0</v>
      </c>
      <c r="M29" s="590">
        <f>Inversiones!L26</f>
        <v>0</v>
      </c>
      <c r="N29" s="591">
        <f>Inversiones!M26</f>
        <v>0</v>
      </c>
      <c r="O29" s="589">
        <f>Inversiones!N26</f>
        <v>0</v>
      </c>
      <c r="P29" s="590">
        <f>Inversiones!O26</f>
        <v>0</v>
      </c>
      <c r="Q29" s="591">
        <f>Inversiones!P26</f>
        <v>0</v>
      </c>
      <c r="R29" s="589">
        <f>Inversiones!Q26</f>
        <v>0</v>
      </c>
      <c r="S29" s="590">
        <f>Inversiones!R26</f>
        <v>0</v>
      </c>
      <c r="T29" s="591">
        <f>Inversiones!S26</f>
        <v>0</v>
      </c>
      <c r="U29" s="589">
        <f>Inversiones!T26</f>
        <v>0</v>
      </c>
      <c r="V29" s="590">
        <f>Inversiones!U26</f>
        <v>0</v>
      </c>
      <c r="W29" s="591">
        <f>Inversiones!V26</f>
        <v>0</v>
      </c>
      <c r="X29" s="592">
        <f>Inversiones!W26</f>
        <v>0</v>
      </c>
    </row>
    <row r="30" spans="2:24" ht="17.25" thickBot="1">
      <c r="B30" s="684" t="str">
        <f>Inversiones!A27</f>
        <v>IVA SOPORTADO</v>
      </c>
      <c r="C30" s="684"/>
      <c r="D30" s="684"/>
      <c r="E30" s="684"/>
      <c r="F30" s="320">
        <f>Inversiones!E27</f>
        <v>0</v>
      </c>
      <c r="G30" s="321">
        <f>Inversiones!F27</f>
        <v>0</v>
      </c>
      <c r="H30" s="629">
        <f>Inversiones!G27</f>
        <v>0</v>
      </c>
      <c r="I30" s="630">
        <f>Inversiones!H27</f>
        <v>0</v>
      </c>
      <c r="J30" s="628">
        <f>Inversiones!I27</f>
        <v>0</v>
      </c>
      <c r="K30" s="321">
        <f>Inversiones!J27</f>
        <v>0</v>
      </c>
      <c r="L30" s="321">
        <f>Inversiones!K27</f>
        <v>0</v>
      </c>
      <c r="M30" s="320">
        <f>Inversiones!L27</f>
        <v>0</v>
      </c>
      <c r="N30" s="322">
        <f>Inversiones!M27</f>
        <v>0</v>
      </c>
      <c r="O30" s="323">
        <f>Inversiones!N27</f>
        <v>0</v>
      </c>
      <c r="P30" s="320">
        <f>Inversiones!O27</f>
        <v>0</v>
      </c>
      <c r="Q30" s="322">
        <f>Inversiones!P27</f>
        <v>0</v>
      </c>
      <c r="R30" s="323">
        <f>Inversiones!Q27</f>
        <v>0</v>
      </c>
      <c r="S30" s="320">
        <f>Inversiones!R27</f>
        <v>0</v>
      </c>
      <c r="T30" s="322">
        <f>Inversiones!S27</f>
        <v>0</v>
      </c>
      <c r="U30" s="323">
        <f>Inversiones!T27</f>
        <v>0</v>
      </c>
      <c r="V30" s="320">
        <f>Inversiones!U27</f>
        <v>0</v>
      </c>
      <c r="W30" s="322">
        <f>Inversiones!V27</f>
        <v>0</v>
      </c>
      <c r="X30" s="324">
        <f>Inversiones!W27</f>
        <v>0</v>
      </c>
    </row>
    <row r="36" spans="4:8" ht="17.25">
      <c r="D36" s="684" t="s">
        <v>152</v>
      </c>
      <c r="E36" s="687" t="str">
        <f>Inversiones!E3</f>
        <v>INVERSIONES INICIALES</v>
      </c>
      <c r="F36" s="687"/>
      <c r="G36" s="687"/>
      <c r="H36" s="687"/>
    </row>
    <row r="37" spans="4:8" ht="17.25">
      <c r="D37" s="685"/>
      <c r="E37" s="687" t="str">
        <f>Inversiones!E4</f>
        <v>EMPRESAS EXISTENTES</v>
      </c>
      <c r="F37" s="687"/>
      <c r="G37" s="687">
        <f>Inversiones!G4</f>
        <v>0</v>
      </c>
      <c r="H37" s="687"/>
    </row>
    <row r="38" spans="4:8" ht="17.25">
      <c r="D38" s="686" t="s">
        <v>0</v>
      </c>
      <c r="E38" s="687" t="str">
        <f>Inversiones!E5</f>
        <v>IMPORTE INVERSIÓN</v>
      </c>
      <c r="F38" s="687" t="str">
        <f>Inversiones!F5</f>
        <v>RESTO VIDA ÚTIL</v>
      </c>
      <c r="G38" s="687" t="str">
        <f>Inversiones!G5</f>
        <v>IMPORTE INVERSIÓN</v>
      </c>
      <c r="H38" s="687" t="str">
        <f>Inversiones!H5</f>
        <v>VIDA ÚTIL</v>
      </c>
    </row>
    <row r="39" spans="4:8" ht="17.25">
      <c r="D39" s="689" t="s">
        <v>475</v>
      </c>
      <c r="E39" s="687">
        <f>Inversiones!E6</f>
        <v>0</v>
      </c>
      <c r="F39" s="687">
        <f>Inversiones!F6</f>
        <v>0</v>
      </c>
      <c r="G39" s="687">
        <f>Inversiones!G6</f>
        <v>0</v>
      </c>
      <c r="H39" s="687">
        <f>Inversiones!H6</f>
        <v>0</v>
      </c>
    </row>
    <row r="40" spans="4:8" ht="30">
      <c r="D40" s="690" t="s">
        <v>476</v>
      </c>
      <c r="E40" s="687">
        <f>Inversiones!E7</f>
        <v>0</v>
      </c>
      <c r="F40" s="687">
        <f>Inversiones!F7</f>
        <v>3</v>
      </c>
      <c r="G40" s="687">
        <f>Inversiones!G7</f>
        <v>0</v>
      </c>
      <c r="H40" s="687">
        <f>Inversiones!H7</f>
        <v>3</v>
      </c>
    </row>
    <row r="41" spans="4:8" ht="45">
      <c r="D41" s="690" t="s">
        <v>477</v>
      </c>
      <c r="E41" s="687">
        <f>Inversiones!E8</f>
        <v>0</v>
      </c>
      <c r="F41" s="687">
        <f>Inversiones!F8</f>
        <v>5</v>
      </c>
      <c r="G41" s="687">
        <f>Inversiones!G8</f>
        <v>0</v>
      </c>
      <c r="H41" s="687">
        <f>Inversiones!H8</f>
        <v>5</v>
      </c>
    </row>
    <row r="42" spans="4:8" ht="30">
      <c r="D42" s="690" t="s">
        <v>478</v>
      </c>
      <c r="E42" s="687">
        <f>Inversiones!E9</f>
        <v>0</v>
      </c>
      <c r="F42" s="687">
        <f>Inversiones!F9</f>
        <v>5</v>
      </c>
      <c r="G42" s="687">
        <f>Inversiones!G9</f>
        <v>0</v>
      </c>
      <c r="H42" s="687">
        <f>Inversiones!H9</f>
        <v>5</v>
      </c>
    </row>
    <row r="43" spans="4:8" ht="17.25">
      <c r="D43" s="691" t="s">
        <v>479</v>
      </c>
      <c r="E43" s="687">
        <f>Inversiones!E10</f>
        <v>0</v>
      </c>
      <c r="F43" s="687">
        <f>Inversiones!F10</f>
        <v>0</v>
      </c>
      <c r="G43" s="687">
        <f>Inversiones!G10</f>
        <v>0</v>
      </c>
      <c r="H43" s="687">
        <f>Inversiones!H10</f>
        <v>0</v>
      </c>
    </row>
    <row r="44" spans="4:8" ht="17.25">
      <c r="D44" s="690" t="s">
        <v>480</v>
      </c>
      <c r="E44" s="687">
        <f>Inversiones!E11</f>
        <v>0</v>
      </c>
      <c r="F44" s="687">
        <f>Inversiones!F11</f>
        <v>0</v>
      </c>
      <c r="G44" s="687">
        <f>Inversiones!G11</f>
        <v>0</v>
      </c>
      <c r="H44" s="687">
        <f>Inversiones!H11</f>
        <v>0</v>
      </c>
    </row>
    <row r="45" spans="4:8" ht="17.25">
      <c r="D45" s="690" t="s">
        <v>481</v>
      </c>
      <c r="E45" s="687">
        <f>Inversiones!E12</f>
        <v>0</v>
      </c>
      <c r="F45" s="687">
        <f>Inversiones!F12</f>
        <v>30</v>
      </c>
      <c r="G45" s="687">
        <f>Inversiones!G12</f>
        <v>0</v>
      </c>
      <c r="H45" s="687">
        <f>Inversiones!H12</f>
        <v>30</v>
      </c>
    </row>
    <row r="46" spans="4:8" ht="17.25">
      <c r="D46" s="690" t="s">
        <v>482</v>
      </c>
      <c r="E46" s="687">
        <f>Inversiones!E13</f>
        <v>0</v>
      </c>
      <c r="F46" s="687">
        <f>Inversiones!F13</f>
        <v>15</v>
      </c>
      <c r="G46" s="687">
        <f>Inversiones!G13</f>
        <v>0</v>
      </c>
      <c r="H46" s="687">
        <f>Inversiones!H13</f>
        <v>15</v>
      </c>
    </row>
    <row r="47" spans="4:8" ht="17.25">
      <c r="D47" s="690" t="s">
        <v>483</v>
      </c>
      <c r="E47" s="687">
        <f>Inversiones!E14</f>
        <v>0</v>
      </c>
      <c r="F47" s="687">
        <f>Inversiones!F14</f>
        <v>10</v>
      </c>
      <c r="G47" s="687">
        <f>Inversiones!G14</f>
        <v>0</v>
      </c>
      <c r="H47" s="687">
        <f>Inversiones!H14</f>
        <v>10</v>
      </c>
    </row>
    <row r="48" spans="4:8" ht="17.25">
      <c r="D48" s="690" t="s">
        <v>484</v>
      </c>
      <c r="E48" s="687">
        <f>Inversiones!E15</f>
        <v>0</v>
      </c>
      <c r="F48" s="687">
        <f>Inversiones!F15</f>
        <v>10</v>
      </c>
      <c r="G48" s="687">
        <f>Inversiones!G15</f>
        <v>0</v>
      </c>
      <c r="H48" s="687">
        <f>Inversiones!H15</f>
        <v>10</v>
      </c>
    </row>
    <row r="49" spans="4:8" ht="30">
      <c r="D49" s="690" t="s">
        <v>485</v>
      </c>
      <c r="E49" s="687">
        <f>Inversiones!E16</f>
        <v>0</v>
      </c>
      <c r="F49" s="687">
        <f>Inversiones!F16</f>
        <v>10</v>
      </c>
      <c r="G49" s="687">
        <f>Inversiones!G16</f>
        <v>0</v>
      </c>
      <c r="H49" s="687">
        <f>Inversiones!H16</f>
        <v>10</v>
      </c>
    </row>
    <row r="50" spans="4:8" ht="30">
      <c r="D50" s="690" t="s">
        <v>486</v>
      </c>
      <c r="E50" s="687">
        <f>Inversiones!E17</f>
        <v>0</v>
      </c>
      <c r="F50" s="687">
        <f>Inversiones!F17</f>
        <v>4</v>
      </c>
      <c r="G50" s="687">
        <f>Inversiones!G17</f>
        <v>0</v>
      </c>
      <c r="H50" s="687">
        <f>Inversiones!H17</f>
        <v>4</v>
      </c>
    </row>
    <row r="51" spans="4:8" ht="45">
      <c r="D51" s="690" t="s">
        <v>477</v>
      </c>
      <c r="E51" s="687">
        <f>Inversiones!E18</f>
        <v>0</v>
      </c>
      <c r="F51" s="687">
        <f>Inversiones!F18</f>
        <v>10</v>
      </c>
      <c r="G51" s="687">
        <f>Inversiones!G18</f>
        <v>0</v>
      </c>
      <c r="H51" s="687">
        <f>Inversiones!H18</f>
        <v>10</v>
      </c>
    </row>
    <row r="52" spans="4:8" ht="30">
      <c r="D52" s="690" t="s">
        <v>487</v>
      </c>
      <c r="E52" s="687">
        <f>Inversiones!E19</f>
        <v>0</v>
      </c>
      <c r="F52" s="687">
        <f>Inversiones!F19</f>
        <v>10</v>
      </c>
      <c r="G52" s="687">
        <f>Inversiones!G19</f>
        <v>0</v>
      </c>
      <c r="H52" s="687">
        <f>Inversiones!H19</f>
        <v>10</v>
      </c>
    </row>
    <row r="53" spans="4:8" ht="17.25">
      <c r="D53" s="691" t="s">
        <v>488</v>
      </c>
      <c r="E53" s="687">
        <f>Inversiones!E20</f>
        <v>0</v>
      </c>
      <c r="F53" s="687">
        <f>Inversiones!F20</f>
        <v>0</v>
      </c>
      <c r="G53" s="687">
        <f>Inversiones!G20</f>
        <v>0</v>
      </c>
      <c r="H53" s="687">
        <f>Inversiones!H20</f>
        <v>0</v>
      </c>
    </row>
    <row r="54" spans="4:8" ht="30">
      <c r="D54" s="690" t="s">
        <v>489</v>
      </c>
      <c r="E54" s="687">
        <f>Inversiones!E21</f>
        <v>0</v>
      </c>
      <c r="F54" s="687">
        <f>Inversiones!F21</f>
        <v>0</v>
      </c>
      <c r="G54" s="687">
        <f>Inversiones!G21</f>
        <v>0</v>
      </c>
      <c r="H54" s="687">
        <f>Inversiones!H21</f>
        <v>0</v>
      </c>
    </row>
    <row r="55" spans="4:8" ht="30">
      <c r="D55" s="690" t="s">
        <v>490</v>
      </c>
      <c r="E55" s="687">
        <f>Inversiones!E22</f>
        <v>0</v>
      </c>
      <c r="F55" s="687">
        <f>Inversiones!F22</f>
        <v>0</v>
      </c>
      <c r="G55" s="687">
        <f>Inversiones!G22</f>
        <v>0</v>
      </c>
      <c r="H55" s="687">
        <f>Inversiones!H22</f>
        <v>0</v>
      </c>
    </row>
    <row r="56" spans="4:8" ht="30">
      <c r="D56" s="692" t="s">
        <v>150</v>
      </c>
      <c r="E56" s="688">
        <f>Inversiones!E26</f>
        <v>0</v>
      </c>
      <c r="F56" s="688">
        <f>Inversiones!F26</f>
        <v>0</v>
      </c>
      <c r="G56" s="688">
        <f>Inversiones!G26</f>
        <v>0</v>
      </c>
      <c r="H56" s="688">
        <f>Inversiones!H26</f>
        <v>0</v>
      </c>
    </row>
    <row r="57" spans="4:8" ht="17.25">
      <c r="D57" s="693" t="s">
        <v>303</v>
      </c>
      <c r="E57" s="688">
        <f>Inversiones!E27</f>
        <v>0</v>
      </c>
      <c r="F57" s="688">
        <f>Inversiones!F27</f>
        <v>0</v>
      </c>
      <c r="G57" s="688">
        <f>Inversiones!G27</f>
        <v>0</v>
      </c>
      <c r="H57" s="688">
        <f>Inversiones!H27</f>
        <v>0</v>
      </c>
    </row>
  </sheetData>
  <mergeCells count="2">
    <mergeCell ref="B11:E11"/>
    <mergeCell ref="B12:E12"/>
  </mergeCells>
  <phoneticPr fontId="4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autoPageBreaks="0"/>
  </sheetPr>
  <dimension ref="A1:X166"/>
  <sheetViews>
    <sheetView showGridLines="0" showZeros="0" zoomScale="90" zoomScaleNormal="90" workbookViewId="0">
      <pane xSplit="6" ySplit="5" topLeftCell="G6" activePane="bottomRight" state="frozen"/>
      <selection activeCell="A28" sqref="A28:W29"/>
      <selection pane="topRight" activeCell="A28" sqref="A28:W29"/>
      <selection pane="bottomLeft" activeCell="A28" sqref="A28:W29"/>
      <selection pane="bottomRight" activeCell="G7" sqref="G7"/>
    </sheetView>
  </sheetViews>
  <sheetFormatPr baseColWidth="10" defaultColWidth="0" defaultRowHeight="18"/>
  <cols>
    <col min="1" max="1" width="2.125" style="325" bestFit="1" customWidth="1"/>
    <col min="2" max="3" width="2.625" style="325" customWidth="1"/>
    <col min="4" max="4" width="22.25" style="325" customWidth="1"/>
    <col min="5" max="5" width="13.375" style="326" hidden="1" customWidth="1"/>
    <col min="6" max="6" width="0.25" style="326" customWidth="1"/>
    <col min="7" max="7" width="14.75" style="326" customWidth="1"/>
    <col min="8" max="9" width="13.625" style="326" customWidth="1"/>
    <col min="10" max="13" width="11.125" style="326" customWidth="1"/>
    <col min="14" max="14" width="11.125" style="327" customWidth="1"/>
    <col min="15" max="15" width="11.125" style="325" customWidth="1"/>
    <col min="16" max="16" width="11.125" style="326" customWidth="1"/>
    <col min="17" max="17" width="11.125" style="327" customWidth="1"/>
    <col min="18" max="18" width="11.125" style="325" customWidth="1"/>
    <col min="19" max="19" width="11.125" style="326" customWidth="1"/>
    <col min="20" max="20" width="11.125" style="327" customWidth="1"/>
    <col min="21" max="21" width="11.125" style="325" customWidth="1"/>
    <col min="22" max="22" width="11.125" style="326" customWidth="1"/>
    <col min="23" max="23" width="11.125" style="327" customWidth="1"/>
    <col min="24" max="24" width="11.125" style="325" customWidth="1"/>
    <col min="25" max="16384" width="0" style="325" hidden="1"/>
  </cols>
  <sheetData>
    <row r="1" spans="1:23" ht="31.5" customHeight="1" thickBot="1"/>
    <row r="2" spans="1:23" s="303" customFormat="1" ht="22.5" customHeight="1">
      <c r="A2" s="695" t="s">
        <v>152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61"/>
      <c r="V2" s="661"/>
      <c r="W2" s="662"/>
    </row>
    <row r="3" spans="1:23" s="304" customFormat="1" ht="25.5" customHeight="1">
      <c r="A3" s="953"/>
      <c r="B3" s="942"/>
      <c r="C3" s="942"/>
      <c r="D3" s="943"/>
      <c r="E3" s="892" t="s">
        <v>470</v>
      </c>
      <c r="F3" s="893"/>
      <c r="G3" s="942" t="s">
        <v>470</v>
      </c>
      <c r="H3" s="943"/>
      <c r="I3" s="941" t="s">
        <v>60</v>
      </c>
      <c r="J3" s="942"/>
      <c r="K3" s="943"/>
      <c r="L3" s="947" t="s">
        <v>61</v>
      </c>
      <c r="M3" s="948"/>
      <c r="N3" s="949"/>
      <c r="O3" s="947" t="s">
        <v>62</v>
      </c>
      <c r="P3" s="948"/>
      <c r="Q3" s="949"/>
      <c r="R3" s="947" t="s">
        <v>176</v>
      </c>
      <c r="S3" s="948"/>
      <c r="T3" s="949"/>
      <c r="U3" s="955" t="s">
        <v>177</v>
      </c>
      <c r="V3" s="956"/>
      <c r="W3" s="957"/>
    </row>
    <row r="4" spans="1:23" s="304" customFormat="1" ht="31.5" customHeight="1">
      <c r="A4" s="954"/>
      <c r="B4" s="945"/>
      <c r="C4" s="945"/>
      <c r="D4" s="946"/>
      <c r="E4" s="892" t="s">
        <v>471</v>
      </c>
      <c r="F4" s="894"/>
      <c r="G4" s="945"/>
      <c r="H4" s="946"/>
      <c r="I4" s="944"/>
      <c r="J4" s="945"/>
      <c r="K4" s="946"/>
      <c r="L4" s="950"/>
      <c r="M4" s="951"/>
      <c r="N4" s="952"/>
      <c r="O4" s="950"/>
      <c r="P4" s="951"/>
      <c r="Q4" s="952"/>
      <c r="R4" s="950"/>
      <c r="S4" s="951"/>
      <c r="T4" s="952"/>
      <c r="U4" s="958"/>
      <c r="V4" s="959"/>
      <c r="W4" s="960"/>
    </row>
    <row r="5" spans="1:23" s="305" customFormat="1" ht="39.75" customHeight="1">
      <c r="A5" s="964" t="s">
        <v>0</v>
      </c>
      <c r="B5" s="965"/>
      <c r="C5" s="965"/>
      <c r="D5" s="965"/>
      <c r="E5" s="696" t="s">
        <v>302</v>
      </c>
      <c r="F5" s="697" t="s">
        <v>472</v>
      </c>
      <c r="G5" s="696" t="s">
        <v>302</v>
      </c>
      <c r="H5" s="697" t="s">
        <v>473</v>
      </c>
      <c r="I5" s="696" t="s">
        <v>302</v>
      </c>
      <c r="J5" s="697" t="s">
        <v>473</v>
      </c>
      <c r="K5" s="698" t="s">
        <v>433</v>
      </c>
      <c r="L5" s="696" t="s">
        <v>302</v>
      </c>
      <c r="M5" s="697" t="s">
        <v>473</v>
      </c>
      <c r="N5" s="698" t="s">
        <v>433</v>
      </c>
      <c r="O5" s="696" t="s">
        <v>302</v>
      </c>
      <c r="P5" s="697" t="s">
        <v>473</v>
      </c>
      <c r="Q5" s="698" t="s">
        <v>433</v>
      </c>
      <c r="R5" s="696" t="s">
        <v>302</v>
      </c>
      <c r="S5" s="697" t="s">
        <v>473</v>
      </c>
      <c r="T5" s="698" t="s">
        <v>433</v>
      </c>
      <c r="U5" s="696" t="s">
        <v>302</v>
      </c>
      <c r="V5" s="697" t="s">
        <v>473</v>
      </c>
      <c r="W5" s="699" t="s">
        <v>433</v>
      </c>
    </row>
    <row r="6" spans="1:23" s="310" customFormat="1" ht="20.25" customHeight="1">
      <c r="A6" s="306" t="s">
        <v>63</v>
      </c>
      <c r="B6" s="307" t="s">
        <v>137</v>
      </c>
      <c r="C6" s="308"/>
      <c r="D6" s="309"/>
      <c r="E6" s="571">
        <f>SUM(E7:E9)</f>
        <v>0</v>
      </c>
      <c r="F6" s="574"/>
      <c r="G6" s="785">
        <f>SUM(G7:G9)</f>
        <v>0</v>
      </c>
      <c r="H6" s="786"/>
      <c r="I6" s="785">
        <f>SUM(I7:I9)</f>
        <v>0</v>
      </c>
      <c r="J6" s="786"/>
      <c r="K6" s="787">
        <f>SUM(K7:K9)</f>
        <v>0</v>
      </c>
      <c r="L6" s="785">
        <f>SUM(L7:L9)</f>
        <v>0</v>
      </c>
      <c r="M6" s="786"/>
      <c r="N6" s="787">
        <f>SUM(N7:N9)</f>
        <v>0</v>
      </c>
      <c r="O6" s="785">
        <f>SUM(O7:O9)</f>
        <v>0</v>
      </c>
      <c r="P6" s="786"/>
      <c r="Q6" s="787">
        <f>SUM(Q7:Q9)</f>
        <v>0</v>
      </c>
      <c r="R6" s="785">
        <f>SUM(R7:R9)</f>
        <v>0</v>
      </c>
      <c r="S6" s="786"/>
      <c r="T6" s="787">
        <f>SUM(T7:T9)</f>
        <v>0</v>
      </c>
      <c r="U6" s="785">
        <f>SUM(U7:U9)</f>
        <v>0</v>
      </c>
      <c r="V6" s="786"/>
      <c r="W6" s="788">
        <f>SUM(W7:W9)</f>
        <v>0</v>
      </c>
    </row>
    <row r="7" spans="1:23" s="310" customFormat="1" ht="15">
      <c r="A7" s="311"/>
      <c r="B7" s="312" t="s">
        <v>2</v>
      </c>
      <c r="C7" s="312" t="s">
        <v>141</v>
      </c>
      <c r="D7" s="313"/>
      <c r="E7" s="572">
        <f>'Balance inicial'!D5</f>
        <v>0</v>
      </c>
      <c r="F7" s="731">
        <v>3</v>
      </c>
      <c r="G7" s="789"/>
      <c r="H7" s="790">
        <v>3</v>
      </c>
      <c r="I7" s="789"/>
      <c r="J7" s="790">
        <f>F7</f>
        <v>3</v>
      </c>
      <c r="K7" s="791">
        <f>J81</f>
        <v>0</v>
      </c>
      <c r="L7" s="789"/>
      <c r="M7" s="790">
        <f>J7</f>
        <v>3</v>
      </c>
      <c r="N7" s="791">
        <f>J82</f>
        <v>0</v>
      </c>
      <c r="O7" s="789"/>
      <c r="P7" s="790">
        <v>3</v>
      </c>
      <c r="Q7" s="791">
        <f>J83</f>
        <v>0</v>
      </c>
      <c r="R7" s="789"/>
      <c r="S7" s="790">
        <f>P7</f>
        <v>3</v>
      </c>
      <c r="T7" s="791">
        <f>J84</f>
        <v>0</v>
      </c>
      <c r="U7" s="789"/>
      <c r="V7" s="790">
        <f>S7</f>
        <v>3</v>
      </c>
      <c r="W7" s="792">
        <f>J85</f>
        <v>0</v>
      </c>
    </row>
    <row r="8" spans="1:23" s="310" customFormat="1" ht="36.75" customHeight="1">
      <c r="A8" s="311"/>
      <c r="B8" s="312" t="s">
        <v>2</v>
      </c>
      <c r="C8" s="966" t="s">
        <v>301</v>
      </c>
      <c r="D8" s="967"/>
      <c r="E8" s="572">
        <f>'Balance inicial'!D6</f>
        <v>0</v>
      </c>
      <c r="F8" s="731">
        <v>5</v>
      </c>
      <c r="G8" s="793"/>
      <c r="H8" s="790">
        <v>5</v>
      </c>
      <c r="I8" s="793">
        <f>Resultados!C8</f>
        <v>0</v>
      </c>
      <c r="J8" s="790">
        <f>F8</f>
        <v>5</v>
      </c>
      <c r="K8" s="791">
        <f>J88</f>
        <v>0</v>
      </c>
      <c r="L8" s="793">
        <f>Resultados!F8</f>
        <v>0</v>
      </c>
      <c r="M8" s="790">
        <f>J8</f>
        <v>5</v>
      </c>
      <c r="N8" s="791">
        <f>J89</f>
        <v>0</v>
      </c>
      <c r="O8" s="793">
        <f>Resultados!I8</f>
        <v>0</v>
      </c>
      <c r="P8" s="790">
        <f>M8</f>
        <v>5</v>
      </c>
      <c r="Q8" s="791">
        <f>J90</f>
        <v>0</v>
      </c>
      <c r="R8" s="793">
        <f>Resultados!L8</f>
        <v>0</v>
      </c>
      <c r="S8" s="790">
        <f>P8</f>
        <v>5</v>
      </c>
      <c r="T8" s="791">
        <f>J91</f>
        <v>0</v>
      </c>
      <c r="U8" s="793">
        <f>Resultados!O8</f>
        <v>0</v>
      </c>
      <c r="V8" s="790">
        <f>S8</f>
        <v>5</v>
      </c>
      <c r="W8" s="792">
        <f>J92</f>
        <v>0</v>
      </c>
    </row>
    <row r="9" spans="1:23" s="310" customFormat="1" ht="15">
      <c r="A9" s="311"/>
      <c r="B9" s="312" t="s">
        <v>2</v>
      </c>
      <c r="C9" s="312" t="s">
        <v>142</v>
      </c>
      <c r="D9" s="313"/>
      <c r="E9" s="572">
        <f>'Balance inicial'!D7</f>
        <v>0</v>
      </c>
      <c r="F9" s="731">
        <v>5</v>
      </c>
      <c r="G9" s="789"/>
      <c r="H9" s="790">
        <v>5</v>
      </c>
      <c r="I9" s="789"/>
      <c r="J9" s="790">
        <f>F9</f>
        <v>5</v>
      </c>
      <c r="K9" s="791">
        <f>J95</f>
        <v>0</v>
      </c>
      <c r="L9" s="789"/>
      <c r="M9" s="790">
        <f>J9</f>
        <v>5</v>
      </c>
      <c r="N9" s="791">
        <f>J96</f>
        <v>0</v>
      </c>
      <c r="O9" s="789"/>
      <c r="P9" s="790">
        <f>M9</f>
        <v>5</v>
      </c>
      <c r="Q9" s="791">
        <f>J97</f>
        <v>0</v>
      </c>
      <c r="R9" s="789"/>
      <c r="S9" s="790">
        <f>P9</f>
        <v>5</v>
      </c>
      <c r="T9" s="791">
        <f>J98</f>
        <v>0</v>
      </c>
      <c r="U9" s="789"/>
      <c r="V9" s="790">
        <f>S9</f>
        <v>5</v>
      </c>
      <c r="W9" s="792">
        <f>J99</f>
        <v>0</v>
      </c>
    </row>
    <row r="10" spans="1:23" s="310" customFormat="1" ht="20.25" customHeight="1">
      <c r="A10" s="311" t="s">
        <v>63</v>
      </c>
      <c r="B10" s="314" t="s">
        <v>138</v>
      </c>
      <c r="C10" s="315"/>
      <c r="D10" s="313"/>
      <c r="E10" s="573">
        <f>SUM(E11:E19)</f>
        <v>0</v>
      </c>
      <c r="F10" s="581"/>
      <c r="G10" s="794">
        <f>SUM(G11:G19)</f>
        <v>0</v>
      </c>
      <c r="H10" s="795"/>
      <c r="I10" s="794">
        <f>SUM(I11:I19)</f>
        <v>0</v>
      </c>
      <c r="J10" s="795"/>
      <c r="K10" s="796">
        <f>SUM(K12:K19)</f>
        <v>0</v>
      </c>
      <c r="L10" s="794">
        <f>SUM(L11:L19)</f>
        <v>0</v>
      </c>
      <c r="M10" s="795"/>
      <c r="N10" s="796">
        <f>SUM(N11:N19)</f>
        <v>0</v>
      </c>
      <c r="O10" s="794">
        <f>SUM(O11:O19)</f>
        <v>0</v>
      </c>
      <c r="P10" s="795"/>
      <c r="Q10" s="796">
        <f>SUM(Q11:Q19)</f>
        <v>0</v>
      </c>
      <c r="R10" s="794">
        <f>SUM(R11:R19)</f>
        <v>0</v>
      </c>
      <c r="S10" s="795"/>
      <c r="T10" s="796">
        <f>SUM(T11:T19)</f>
        <v>0</v>
      </c>
      <c r="U10" s="794">
        <f>SUM(U11:U19)</f>
        <v>0</v>
      </c>
      <c r="V10" s="795"/>
      <c r="W10" s="797">
        <f>SUM(W11:W19)</f>
        <v>0</v>
      </c>
    </row>
    <row r="11" spans="1:23" s="317" customFormat="1" ht="15">
      <c r="A11" s="316"/>
      <c r="B11" s="312" t="s">
        <v>2</v>
      </c>
      <c r="C11" s="312" t="s">
        <v>144</v>
      </c>
      <c r="D11" s="312"/>
      <c r="E11" s="572">
        <f>'Balance inicial'!D10</f>
        <v>0</v>
      </c>
      <c r="F11" s="584"/>
      <c r="G11" s="789"/>
      <c r="H11" s="798"/>
      <c r="I11" s="789"/>
      <c r="J11" s="798"/>
      <c r="K11" s="791"/>
      <c r="L11" s="789"/>
      <c r="M11" s="798"/>
      <c r="N11" s="791"/>
      <c r="O11" s="789"/>
      <c r="P11" s="798"/>
      <c r="Q11" s="791"/>
      <c r="R11" s="789"/>
      <c r="S11" s="798"/>
      <c r="T11" s="791"/>
      <c r="U11" s="789"/>
      <c r="V11" s="798"/>
      <c r="W11" s="792"/>
    </row>
    <row r="12" spans="1:23" s="317" customFormat="1" ht="15">
      <c r="A12" s="316"/>
      <c r="B12" s="312" t="s">
        <v>2</v>
      </c>
      <c r="C12" s="312" t="s">
        <v>145</v>
      </c>
      <c r="D12" s="312"/>
      <c r="E12" s="572">
        <f>'Balance inicial'!D11</f>
        <v>0</v>
      </c>
      <c r="F12" s="731">
        <v>30</v>
      </c>
      <c r="G12" s="789"/>
      <c r="H12" s="790">
        <v>30</v>
      </c>
      <c r="I12" s="789"/>
      <c r="J12" s="790">
        <f>F12</f>
        <v>30</v>
      </c>
      <c r="K12" s="791">
        <f>J102</f>
        <v>0</v>
      </c>
      <c r="L12" s="789"/>
      <c r="M12" s="790">
        <f t="shared" ref="M12:M19" si="0">J12</f>
        <v>30</v>
      </c>
      <c r="N12" s="791">
        <f>J103</f>
        <v>0</v>
      </c>
      <c r="O12" s="789"/>
      <c r="P12" s="790">
        <f>M12</f>
        <v>30</v>
      </c>
      <c r="Q12" s="791">
        <f>J104</f>
        <v>0</v>
      </c>
      <c r="R12" s="789"/>
      <c r="S12" s="790">
        <f t="shared" ref="S12:S19" si="1">P12</f>
        <v>30</v>
      </c>
      <c r="T12" s="791">
        <f>J105</f>
        <v>0</v>
      </c>
      <c r="U12" s="789"/>
      <c r="V12" s="790">
        <f t="shared" ref="V12:V19" si="2">S12</f>
        <v>30</v>
      </c>
      <c r="W12" s="792">
        <f>J106</f>
        <v>0</v>
      </c>
    </row>
    <row r="13" spans="1:23" s="317" customFormat="1" ht="15">
      <c r="A13" s="316"/>
      <c r="B13" s="312" t="s">
        <v>2</v>
      </c>
      <c r="C13" s="312" t="s">
        <v>185</v>
      </c>
      <c r="D13" s="312"/>
      <c r="E13" s="572">
        <f>'Balance inicial'!D12</f>
        <v>0</v>
      </c>
      <c r="F13" s="731">
        <v>15</v>
      </c>
      <c r="G13" s="789"/>
      <c r="H13" s="790">
        <v>15</v>
      </c>
      <c r="I13" s="789"/>
      <c r="J13" s="790">
        <f t="shared" ref="J13:J19" si="3">F13</f>
        <v>15</v>
      </c>
      <c r="K13" s="791">
        <f>J109</f>
        <v>0</v>
      </c>
      <c r="L13" s="789"/>
      <c r="M13" s="790">
        <f t="shared" si="0"/>
        <v>15</v>
      </c>
      <c r="N13" s="791">
        <f>J110</f>
        <v>0</v>
      </c>
      <c r="O13" s="789"/>
      <c r="P13" s="790">
        <f>M13</f>
        <v>15</v>
      </c>
      <c r="Q13" s="791">
        <f>J111</f>
        <v>0</v>
      </c>
      <c r="R13" s="789"/>
      <c r="S13" s="790">
        <f t="shared" si="1"/>
        <v>15</v>
      </c>
      <c r="T13" s="791">
        <f>J112</f>
        <v>0</v>
      </c>
      <c r="U13" s="789"/>
      <c r="V13" s="790">
        <f t="shared" si="2"/>
        <v>15</v>
      </c>
      <c r="W13" s="792">
        <f>J113</f>
        <v>0</v>
      </c>
    </row>
    <row r="14" spans="1:23" s="317" customFormat="1" ht="15">
      <c r="A14" s="316"/>
      <c r="B14" s="312" t="s">
        <v>2</v>
      </c>
      <c r="C14" s="312" t="s">
        <v>186</v>
      </c>
      <c r="D14" s="312"/>
      <c r="E14" s="572">
        <f>'Balance inicial'!D13</f>
        <v>0</v>
      </c>
      <c r="F14" s="731">
        <v>10</v>
      </c>
      <c r="G14" s="789"/>
      <c r="H14" s="790">
        <v>10</v>
      </c>
      <c r="I14" s="789"/>
      <c r="J14" s="790">
        <f t="shared" si="3"/>
        <v>10</v>
      </c>
      <c r="K14" s="791">
        <f>J116</f>
        <v>0</v>
      </c>
      <c r="L14" s="789"/>
      <c r="M14" s="790">
        <f t="shared" si="0"/>
        <v>10</v>
      </c>
      <c r="N14" s="791">
        <f>J117</f>
        <v>0</v>
      </c>
      <c r="O14" s="789"/>
      <c r="P14" s="790">
        <f>M14</f>
        <v>10</v>
      </c>
      <c r="Q14" s="791">
        <f>J118</f>
        <v>0</v>
      </c>
      <c r="R14" s="789"/>
      <c r="S14" s="790">
        <f t="shared" si="1"/>
        <v>10</v>
      </c>
      <c r="T14" s="791">
        <f>J119</f>
        <v>0</v>
      </c>
      <c r="U14" s="789"/>
      <c r="V14" s="790">
        <f t="shared" si="2"/>
        <v>10</v>
      </c>
      <c r="W14" s="792">
        <f>J120</f>
        <v>0</v>
      </c>
    </row>
    <row r="15" spans="1:23" s="317" customFormat="1" ht="15">
      <c r="A15" s="316"/>
      <c r="B15" s="312" t="s">
        <v>2</v>
      </c>
      <c r="C15" s="312" t="s">
        <v>146</v>
      </c>
      <c r="D15" s="312"/>
      <c r="E15" s="572">
        <f>'Balance inicial'!D14</f>
        <v>0</v>
      </c>
      <c r="F15" s="731">
        <v>10</v>
      </c>
      <c r="G15" s="789"/>
      <c r="H15" s="790">
        <v>10</v>
      </c>
      <c r="I15" s="789"/>
      <c r="J15" s="790">
        <f t="shared" si="3"/>
        <v>10</v>
      </c>
      <c r="K15" s="791">
        <f>J123</f>
        <v>0</v>
      </c>
      <c r="L15" s="789"/>
      <c r="M15" s="790">
        <f t="shared" si="0"/>
        <v>10</v>
      </c>
      <c r="N15" s="791">
        <f>J124</f>
        <v>0</v>
      </c>
      <c r="O15" s="789"/>
      <c r="P15" s="790">
        <v>4</v>
      </c>
      <c r="Q15" s="791">
        <f>J125</f>
        <v>0</v>
      </c>
      <c r="R15" s="789"/>
      <c r="S15" s="790">
        <f t="shared" si="1"/>
        <v>4</v>
      </c>
      <c r="T15" s="791">
        <f>J126</f>
        <v>0</v>
      </c>
      <c r="U15" s="789"/>
      <c r="V15" s="790">
        <f t="shared" si="2"/>
        <v>4</v>
      </c>
      <c r="W15" s="792">
        <f>J127</f>
        <v>0</v>
      </c>
    </row>
    <row r="16" spans="1:23" s="317" customFormat="1" ht="15">
      <c r="A16" s="316"/>
      <c r="B16" s="312" t="s">
        <v>2</v>
      </c>
      <c r="C16" s="312" t="s">
        <v>187</v>
      </c>
      <c r="D16" s="312"/>
      <c r="E16" s="572">
        <f>'Balance inicial'!D15</f>
        <v>0</v>
      </c>
      <c r="F16" s="731">
        <v>10</v>
      </c>
      <c r="G16" s="789"/>
      <c r="H16" s="790">
        <v>10</v>
      </c>
      <c r="I16" s="789"/>
      <c r="J16" s="790">
        <f t="shared" si="3"/>
        <v>10</v>
      </c>
      <c r="K16" s="791">
        <f>J130</f>
        <v>0</v>
      </c>
      <c r="L16" s="789"/>
      <c r="M16" s="790">
        <f t="shared" si="0"/>
        <v>10</v>
      </c>
      <c r="N16" s="791">
        <f>J131</f>
        <v>0</v>
      </c>
      <c r="O16" s="789"/>
      <c r="P16" s="790">
        <f>M16</f>
        <v>10</v>
      </c>
      <c r="Q16" s="791">
        <f>J132</f>
        <v>0</v>
      </c>
      <c r="R16" s="789"/>
      <c r="S16" s="790">
        <f t="shared" si="1"/>
        <v>10</v>
      </c>
      <c r="T16" s="791">
        <f>J133</f>
        <v>0</v>
      </c>
      <c r="U16" s="789"/>
      <c r="V16" s="790">
        <f t="shared" si="2"/>
        <v>10</v>
      </c>
      <c r="W16" s="792">
        <f>J134</f>
        <v>0</v>
      </c>
    </row>
    <row r="17" spans="1:24" s="317" customFormat="1" ht="15">
      <c r="A17" s="316"/>
      <c r="B17" s="312" t="s">
        <v>2</v>
      </c>
      <c r="C17" s="312" t="s">
        <v>147</v>
      </c>
      <c r="D17" s="312"/>
      <c r="E17" s="572">
        <f>'Balance inicial'!D16</f>
        <v>0</v>
      </c>
      <c r="F17" s="731">
        <v>4</v>
      </c>
      <c r="G17" s="789"/>
      <c r="H17" s="790">
        <v>4</v>
      </c>
      <c r="I17" s="789"/>
      <c r="J17" s="790">
        <f t="shared" si="3"/>
        <v>4</v>
      </c>
      <c r="K17" s="791">
        <f>J137</f>
        <v>0</v>
      </c>
      <c r="L17" s="789"/>
      <c r="M17" s="790">
        <f t="shared" si="0"/>
        <v>4</v>
      </c>
      <c r="N17" s="791">
        <f>J138</f>
        <v>0</v>
      </c>
      <c r="O17" s="789"/>
      <c r="P17" s="790">
        <f>M17</f>
        <v>4</v>
      </c>
      <c r="Q17" s="791">
        <f>J139</f>
        <v>0</v>
      </c>
      <c r="R17" s="789"/>
      <c r="S17" s="790">
        <f t="shared" si="1"/>
        <v>4</v>
      </c>
      <c r="T17" s="791">
        <f>J140</f>
        <v>0</v>
      </c>
      <c r="U17" s="789"/>
      <c r="V17" s="790">
        <f t="shared" si="2"/>
        <v>4</v>
      </c>
      <c r="W17" s="792">
        <f>J141</f>
        <v>0</v>
      </c>
    </row>
    <row r="18" spans="1:24" s="317" customFormat="1" ht="31.5" customHeight="1">
      <c r="A18" s="316"/>
      <c r="B18" s="312" t="s">
        <v>2</v>
      </c>
      <c r="C18" s="966" t="s">
        <v>301</v>
      </c>
      <c r="D18" s="967"/>
      <c r="E18" s="572">
        <f>'Balance inicial'!D17</f>
        <v>0</v>
      </c>
      <c r="F18" s="731">
        <v>10</v>
      </c>
      <c r="G18" s="793"/>
      <c r="H18" s="790">
        <v>10</v>
      </c>
      <c r="I18" s="793">
        <f>Resultados!C9</f>
        <v>0</v>
      </c>
      <c r="J18" s="790">
        <f t="shared" si="3"/>
        <v>10</v>
      </c>
      <c r="K18" s="791">
        <f>J144</f>
        <v>0</v>
      </c>
      <c r="L18" s="793">
        <f>Resultados!F9</f>
        <v>0</v>
      </c>
      <c r="M18" s="790">
        <f>J18</f>
        <v>10</v>
      </c>
      <c r="N18" s="791">
        <f>J145</f>
        <v>0</v>
      </c>
      <c r="O18" s="793">
        <f>Resultados!I9</f>
        <v>0</v>
      </c>
      <c r="P18" s="790">
        <f>M18</f>
        <v>10</v>
      </c>
      <c r="Q18" s="791">
        <f>J146</f>
        <v>0</v>
      </c>
      <c r="R18" s="793">
        <f>Resultados!L9</f>
        <v>0</v>
      </c>
      <c r="S18" s="790">
        <f>P18</f>
        <v>10</v>
      </c>
      <c r="T18" s="791">
        <f>J147</f>
        <v>0</v>
      </c>
      <c r="U18" s="793">
        <f>Resultados!O9</f>
        <v>0</v>
      </c>
      <c r="V18" s="790">
        <f>S18</f>
        <v>10</v>
      </c>
      <c r="W18" s="792">
        <f>J148</f>
        <v>0</v>
      </c>
    </row>
    <row r="19" spans="1:24" s="317" customFormat="1" ht="15">
      <c r="A19" s="316"/>
      <c r="B19" s="312" t="s">
        <v>2</v>
      </c>
      <c r="C19" s="312" t="s">
        <v>143</v>
      </c>
      <c r="D19" s="312"/>
      <c r="E19" s="572">
        <f>'Balance inicial'!D18</f>
        <v>0</v>
      </c>
      <c r="F19" s="731">
        <v>10</v>
      </c>
      <c r="G19" s="789"/>
      <c r="H19" s="790">
        <v>10</v>
      </c>
      <c r="I19" s="789"/>
      <c r="J19" s="790">
        <f t="shared" si="3"/>
        <v>10</v>
      </c>
      <c r="K19" s="791">
        <f>J151</f>
        <v>0</v>
      </c>
      <c r="L19" s="789"/>
      <c r="M19" s="790">
        <f t="shared" si="0"/>
        <v>10</v>
      </c>
      <c r="N19" s="791">
        <f>J152</f>
        <v>0</v>
      </c>
      <c r="O19" s="789"/>
      <c r="P19" s="790">
        <f>M19</f>
        <v>10</v>
      </c>
      <c r="Q19" s="791">
        <f>J153</f>
        <v>0</v>
      </c>
      <c r="R19" s="789"/>
      <c r="S19" s="790">
        <f t="shared" si="1"/>
        <v>10</v>
      </c>
      <c r="T19" s="791">
        <f>J154</f>
        <v>0</v>
      </c>
      <c r="U19" s="789"/>
      <c r="V19" s="790">
        <f t="shared" si="2"/>
        <v>10</v>
      </c>
      <c r="W19" s="792">
        <f>J155</f>
        <v>0</v>
      </c>
    </row>
    <row r="20" spans="1:24" s="310" customFormat="1" ht="21" customHeight="1">
      <c r="A20" s="311" t="s">
        <v>63</v>
      </c>
      <c r="B20" s="314" t="s">
        <v>139</v>
      </c>
      <c r="C20" s="318"/>
      <c r="D20" s="313"/>
      <c r="E20" s="573">
        <f>SUM(E21:E22)</f>
        <v>0</v>
      </c>
      <c r="F20" s="585"/>
      <c r="G20" s="794">
        <f>SUM(G21:G22)</f>
        <v>0</v>
      </c>
      <c r="H20" s="799"/>
      <c r="I20" s="794">
        <f>SUM(I21:I22)</f>
        <v>0</v>
      </c>
      <c r="J20" s="799"/>
      <c r="K20" s="796"/>
      <c r="L20" s="794">
        <f>SUM(L21:L22)</f>
        <v>0</v>
      </c>
      <c r="M20" s="795"/>
      <c r="N20" s="800"/>
      <c r="O20" s="794">
        <f>SUM(O21:O22)</f>
        <v>0</v>
      </c>
      <c r="P20" s="795"/>
      <c r="Q20" s="800"/>
      <c r="R20" s="794">
        <f>SUM(R21:R22)</f>
        <v>0</v>
      </c>
      <c r="S20" s="795"/>
      <c r="T20" s="800"/>
      <c r="U20" s="794">
        <f>SUM(U21:U22)</f>
        <v>0</v>
      </c>
      <c r="V20" s="795"/>
      <c r="W20" s="801"/>
    </row>
    <row r="21" spans="1:24" s="310" customFormat="1" ht="15">
      <c r="A21" s="311"/>
      <c r="B21" s="312" t="s">
        <v>2</v>
      </c>
      <c r="C21" s="312" t="s">
        <v>148</v>
      </c>
      <c r="D21" s="313"/>
      <c r="E21" s="572">
        <f>'Balance inicial'!D22</f>
        <v>0</v>
      </c>
      <c r="F21" s="584"/>
      <c r="G21" s="789"/>
      <c r="H21" s="798"/>
      <c r="I21" s="789"/>
      <c r="J21" s="798"/>
      <c r="K21" s="791"/>
      <c r="L21" s="789"/>
      <c r="M21" s="795"/>
      <c r="N21" s="800"/>
      <c r="O21" s="789"/>
      <c r="P21" s="795"/>
      <c r="Q21" s="800"/>
      <c r="R21" s="789"/>
      <c r="S21" s="795"/>
      <c r="T21" s="800"/>
      <c r="U21" s="789"/>
      <c r="V21" s="795"/>
      <c r="W21" s="801"/>
    </row>
    <row r="22" spans="1:24" s="310" customFormat="1" ht="15">
      <c r="A22" s="311"/>
      <c r="B22" s="312" t="s">
        <v>2</v>
      </c>
      <c r="C22" s="312" t="s">
        <v>149</v>
      </c>
      <c r="D22" s="313"/>
      <c r="E22" s="572">
        <f>'Balance inicial'!D20+'Balance inicial'!D23+'Balance inicial'!D24</f>
        <v>0</v>
      </c>
      <c r="F22" s="584"/>
      <c r="G22" s="789"/>
      <c r="H22" s="798"/>
      <c r="I22" s="789"/>
      <c r="J22" s="798"/>
      <c r="K22" s="791"/>
      <c r="L22" s="789"/>
      <c r="M22" s="795"/>
      <c r="N22" s="800"/>
      <c r="O22" s="789"/>
      <c r="P22" s="795"/>
      <c r="Q22" s="800"/>
      <c r="R22" s="789"/>
      <c r="S22" s="795"/>
      <c r="T22" s="800"/>
      <c r="U22" s="789"/>
      <c r="V22" s="795"/>
      <c r="W22" s="801"/>
    </row>
    <row r="23" spans="1:24" s="310" customFormat="1" ht="15">
      <c r="A23" s="311" t="s">
        <v>63</v>
      </c>
      <c r="B23" s="314" t="s">
        <v>491</v>
      </c>
      <c r="C23" s="318"/>
      <c r="D23" s="313"/>
      <c r="E23" s="572"/>
      <c r="F23" s="584"/>
      <c r="G23" s="802">
        <f>SUM(G24:G25)</f>
        <v>0</v>
      </c>
      <c r="H23" s="798"/>
      <c r="I23" s="803"/>
      <c r="J23" s="798"/>
      <c r="K23" s="791"/>
      <c r="L23" s="803"/>
      <c r="M23" s="795"/>
      <c r="N23" s="800"/>
      <c r="O23" s="803"/>
      <c r="P23" s="795"/>
      <c r="Q23" s="800"/>
      <c r="R23" s="803"/>
      <c r="S23" s="795"/>
      <c r="T23" s="800"/>
      <c r="U23" s="803"/>
      <c r="V23" s="795"/>
      <c r="W23" s="801"/>
    </row>
    <row r="24" spans="1:24" s="310" customFormat="1" ht="15">
      <c r="A24" s="311"/>
      <c r="B24" s="312" t="s">
        <v>2</v>
      </c>
      <c r="C24" s="312" t="s">
        <v>140</v>
      </c>
      <c r="D24" s="313"/>
      <c r="E24" s="572"/>
      <c r="F24" s="584"/>
      <c r="G24" s="789"/>
      <c r="H24" s="798"/>
      <c r="I24" s="803"/>
      <c r="J24" s="798"/>
      <c r="K24" s="791"/>
      <c r="L24" s="803"/>
      <c r="M24" s="795"/>
      <c r="N24" s="800"/>
      <c r="O24" s="803"/>
      <c r="P24" s="795"/>
      <c r="Q24" s="800"/>
      <c r="R24" s="803"/>
      <c r="S24" s="795"/>
      <c r="T24" s="800"/>
      <c r="U24" s="803"/>
      <c r="V24" s="795"/>
      <c r="W24" s="801"/>
    </row>
    <row r="25" spans="1:24" s="310" customFormat="1" ht="15.75" thickBot="1">
      <c r="A25" s="311"/>
      <c r="B25" s="312" t="s">
        <v>2</v>
      </c>
      <c r="C25" s="312" t="s">
        <v>492</v>
      </c>
      <c r="D25" s="313"/>
      <c r="E25" s="572"/>
      <c r="F25" s="584"/>
      <c r="G25" s="789"/>
      <c r="H25" s="798"/>
      <c r="I25" s="803"/>
      <c r="J25" s="798"/>
      <c r="K25" s="791"/>
      <c r="L25" s="803"/>
      <c r="M25" s="795"/>
      <c r="N25" s="800"/>
      <c r="O25" s="803"/>
      <c r="P25" s="795"/>
      <c r="Q25" s="800"/>
      <c r="R25" s="803"/>
      <c r="S25" s="795"/>
      <c r="T25" s="800"/>
      <c r="U25" s="803"/>
      <c r="V25" s="795"/>
      <c r="W25" s="801"/>
    </row>
    <row r="26" spans="1:24" s="319" customFormat="1" ht="34.5" customHeight="1" thickBot="1">
      <c r="A26" s="968" t="s">
        <v>150</v>
      </c>
      <c r="B26" s="969"/>
      <c r="C26" s="969"/>
      <c r="D26" s="970"/>
      <c r="E26" s="320">
        <f>E6+E10+E20</f>
        <v>0</v>
      </c>
      <c r="F26" s="588"/>
      <c r="G26" s="804">
        <f>G6+G10+G20+G23</f>
        <v>0</v>
      </c>
      <c r="H26" s="805"/>
      <c r="I26" s="804">
        <f>I6+I10+I20</f>
        <v>0</v>
      </c>
      <c r="J26" s="805"/>
      <c r="K26" s="806">
        <f>K6+K10</f>
        <v>0</v>
      </c>
      <c r="L26" s="804">
        <f>L6+L10+L20</f>
        <v>0</v>
      </c>
      <c r="M26" s="805"/>
      <c r="N26" s="806">
        <f>N6+N10</f>
        <v>0</v>
      </c>
      <c r="O26" s="804">
        <f>O6+O10+O20</f>
        <v>0</v>
      </c>
      <c r="P26" s="805"/>
      <c r="Q26" s="806">
        <f>Q6+Q10</f>
        <v>0</v>
      </c>
      <c r="R26" s="804">
        <f>R6+R10+R20</f>
        <v>0</v>
      </c>
      <c r="S26" s="805"/>
      <c r="T26" s="806">
        <f>T6+T10</f>
        <v>0</v>
      </c>
      <c r="U26" s="804">
        <f>U6+U10+U20</f>
        <v>0</v>
      </c>
      <c r="V26" s="805"/>
      <c r="W26" s="807">
        <f>W6+W10</f>
        <v>0</v>
      </c>
    </row>
    <row r="27" spans="1:24" s="319" customFormat="1" ht="28.5" customHeight="1" thickBot="1">
      <c r="A27" s="971" t="s">
        <v>303</v>
      </c>
      <c r="B27" s="972"/>
      <c r="C27" s="972"/>
      <c r="D27" s="973"/>
      <c r="E27" s="320"/>
      <c r="F27" s="321"/>
      <c r="G27" s="805">
        <f>(G6-G8+G10-G18)*Inicio!$D$21+G23*Inicio!$D$22</f>
        <v>0</v>
      </c>
      <c r="H27" s="808"/>
      <c r="I27" s="805">
        <f>(I6-I8+I10-I18)*Inicio!$D$21</f>
        <v>0</v>
      </c>
      <c r="J27" s="809"/>
      <c r="K27" s="809"/>
      <c r="L27" s="804">
        <f>(L6-L8+L10-L18)*Inicio!$D$21</f>
        <v>0</v>
      </c>
      <c r="M27" s="809"/>
      <c r="N27" s="809"/>
      <c r="O27" s="804">
        <f>(O6-O8+O10-O18)*Inicio!$D$21</f>
        <v>0</v>
      </c>
      <c r="P27" s="809"/>
      <c r="Q27" s="809"/>
      <c r="R27" s="804">
        <f>(R6-R8+R10-R18)*Inicio!$D$21</f>
        <v>0</v>
      </c>
      <c r="S27" s="809"/>
      <c r="T27" s="809"/>
      <c r="U27" s="804">
        <f>(U6-U8+U10-U18)*Inicio!$D$21</f>
        <v>0</v>
      </c>
      <c r="V27" s="809"/>
      <c r="W27" s="808"/>
    </row>
    <row r="28" spans="1:24" s="319" customFormat="1" ht="10.5" customHeight="1">
      <c r="A28" s="541"/>
      <c r="B28" s="541"/>
      <c r="C28" s="541"/>
      <c r="D28" s="541"/>
      <c r="E28" s="542"/>
      <c r="F28" s="543"/>
      <c r="G28" s="543"/>
      <c r="H28" s="543"/>
      <c r="I28" s="543"/>
      <c r="J28" s="542"/>
      <c r="K28" s="543"/>
      <c r="L28" s="543"/>
      <c r="M28" s="542"/>
      <c r="N28" s="544"/>
      <c r="O28" s="545"/>
      <c r="P28" s="542"/>
      <c r="Q28" s="544"/>
      <c r="R28" s="545"/>
      <c r="S28" s="542"/>
      <c r="T28" s="544"/>
      <c r="U28" s="545"/>
      <c r="V28" s="542"/>
      <c r="W28" s="544"/>
      <c r="X28" s="545"/>
    </row>
    <row r="30" spans="1:24" s="16" customFormat="1" ht="27.75" customHeight="1">
      <c r="A30" s="974" t="s">
        <v>395</v>
      </c>
      <c r="B30" s="974"/>
      <c r="C30" s="974"/>
      <c r="D30" s="974"/>
      <c r="E30" s="974"/>
      <c r="F30" s="974"/>
      <c r="G30" s="974"/>
      <c r="H30" s="974"/>
      <c r="I30" s="974"/>
      <c r="J30" s="974"/>
      <c r="K30" s="974"/>
      <c r="L30" s="974"/>
      <c r="M30" s="974"/>
      <c r="N30" s="974"/>
      <c r="O30" s="974"/>
      <c r="P30" s="974"/>
      <c r="Q30" s="974"/>
      <c r="R30" s="974"/>
      <c r="S30" s="974"/>
      <c r="T30" s="974"/>
      <c r="U30" s="974"/>
      <c r="V30" s="974"/>
      <c r="W30" s="974"/>
    </row>
    <row r="31" spans="1:24" s="16" customFormat="1" ht="27.75" customHeight="1">
      <c r="A31" s="975" t="s">
        <v>456</v>
      </c>
      <c r="B31" s="975"/>
      <c r="C31" s="975"/>
      <c r="D31" s="975"/>
      <c r="E31" s="975"/>
      <c r="F31" s="975"/>
      <c r="G31" s="975"/>
      <c r="H31" s="975"/>
      <c r="I31" s="975"/>
      <c r="J31" s="975"/>
      <c r="K31" s="975"/>
      <c r="L31" s="975"/>
      <c r="M31" s="975"/>
      <c r="N31" s="975"/>
      <c r="O31" s="975"/>
      <c r="P31" s="975"/>
      <c r="Q31" s="975"/>
      <c r="R31" s="975"/>
      <c r="S31" s="975"/>
      <c r="T31" s="975"/>
      <c r="U31" s="975"/>
      <c r="V31" s="975"/>
      <c r="W31" s="975"/>
    </row>
    <row r="32" spans="1:24" ht="18.75" thickBot="1">
      <c r="A32" s="976" t="s">
        <v>457</v>
      </c>
      <c r="B32" s="976"/>
      <c r="C32" s="976"/>
      <c r="D32" s="976"/>
      <c r="E32" s="976"/>
      <c r="F32" s="976"/>
      <c r="G32" s="976"/>
      <c r="H32" s="976"/>
      <c r="I32" s="976"/>
      <c r="J32" s="976"/>
      <c r="K32" s="976"/>
      <c r="L32" s="976"/>
      <c r="M32" s="976"/>
      <c r="N32" s="976"/>
      <c r="O32" s="976"/>
      <c r="P32" s="976"/>
      <c r="Q32" s="976"/>
      <c r="R32" s="976"/>
      <c r="S32" s="976"/>
      <c r="T32" s="976"/>
      <c r="U32" s="976"/>
      <c r="V32" s="976"/>
      <c r="W32" s="976"/>
    </row>
    <row r="53" spans="4:23" ht="18" hidden="1" customHeight="1"/>
    <row r="54" spans="4:23" ht="18" hidden="1" customHeight="1">
      <c r="E54" s="328" t="s">
        <v>458</v>
      </c>
      <c r="F54" s="328" t="s">
        <v>459</v>
      </c>
      <c r="G54" s="328" t="s">
        <v>60</v>
      </c>
      <c r="H54" s="328" t="s">
        <v>61</v>
      </c>
      <c r="I54" s="328" t="s">
        <v>62</v>
      </c>
      <c r="J54" s="328" t="s">
        <v>176</v>
      </c>
      <c r="K54" s="328" t="s">
        <v>177</v>
      </c>
      <c r="L54" s="325"/>
      <c r="V54" s="325"/>
      <c r="W54" s="325"/>
    </row>
    <row r="55" spans="4:23" ht="18" hidden="1" customHeight="1">
      <c r="D55" s="329" t="str">
        <f>C7</f>
        <v>Aplicaciones informáticas</v>
      </c>
      <c r="E55" s="330">
        <f>E7</f>
        <v>0</v>
      </c>
      <c r="F55" s="330">
        <f>G7</f>
        <v>0</v>
      </c>
      <c r="G55" s="330">
        <f>I7</f>
        <v>0</v>
      </c>
      <c r="H55" s="330">
        <f>L7</f>
        <v>0</v>
      </c>
      <c r="I55" s="330">
        <f>O7</f>
        <v>0</v>
      </c>
      <c r="J55" s="330">
        <f>R7</f>
        <v>0</v>
      </c>
      <c r="K55" s="330">
        <f>U7</f>
        <v>0</v>
      </c>
      <c r="L55" s="325"/>
      <c r="V55" s="325"/>
      <c r="W55" s="325"/>
    </row>
    <row r="56" spans="4:23" ht="21.75" hidden="1" customHeight="1">
      <c r="D56" s="331" t="str">
        <f>C8</f>
        <v>Inmovilizaciones realizadas por la propia empresa</v>
      </c>
      <c r="E56" s="330">
        <f>E8</f>
        <v>0</v>
      </c>
      <c r="F56" s="330"/>
      <c r="G56" s="330">
        <f>I8</f>
        <v>0</v>
      </c>
      <c r="H56" s="330">
        <f>L8</f>
        <v>0</v>
      </c>
      <c r="I56" s="330">
        <f>O8</f>
        <v>0</v>
      </c>
      <c r="J56" s="330">
        <f>R8</f>
        <v>0</v>
      </c>
      <c r="K56" s="330">
        <f>U8</f>
        <v>0</v>
      </c>
      <c r="L56" s="325"/>
      <c r="V56" s="325"/>
      <c r="W56" s="325"/>
    </row>
    <row r="57" spans="4:23" ht="18.75" hidden="1" customHeight="1">
      <c r="D57" s="331" t="str">
        <f>C9</f>
        <v>Otras inversiones intangibles</v>
      </c>
      <c r="E57" s="330">
        <f>E9</f>
        <v>0</v>
      </c>
      <c r="F57" s="330">
        <f>G9</f>
        <v>0</v>
      </c>
      <c r="G57" s="330">
        <f>I9</f>
        <v>0</v>
      </c>
      <c r="H57" s="330">
        <f>L9</f>
        <v>0</v>
      </c>
      <c r="I57" s="330">
        <f>O9</f>
        <v>0</v>
      </c>
      <c r="J57" s="330">
        <f>R9</f>
        <v>0</v>
      </c>
      <c r="K57" s="330">
        <f>U9</f>
        <v>0</v>
      </c>
      <c r="L57" s="325"/>
      <c r="V57" s="325"/>
      <c r="W57" s="325"/>
    </row>
    <row r="58" spans="4:23" ht="18" hidden="1" customHeight="1">
      <c r="D58" s="329" t="str">
        <f t="shared" ref="D58:D65" si="4">C12</f>
        <v>Edificaciones</v>
      </c>
      <c r="E58" s="330">
        <f t="shared" ref="E58:E65" si="5">E12</f>
        <v>0</v>
      </c>
      <c r="F58" s="330">
        <f t="shared" ref="F58:F63" si="6">G12</f>
        <v>0</v>
      </c>
      <c r="G58" s="330">
        <f t="shared" ref="G58:G65" si="7">I12</f>
        <v>0</v>
      </c>
      <c r="H58" s="330">
        <f t="shared" ref="H58:H65" si="8">L12</f>
        <v>0</v>
      </c>
      <c r="I58" s="330">
        <f t="shared" ref="I58:I65" si="9">O12</f>
        <v>0</v>
      </c>
      <c r="J58" s="330">
        <f t="shared" ref="J58:J65" si="10">R12</f>
        <v>0</v>
      </c>
      <c r="K58" s="330">
        <f t="shared" ref="K58:K65" si="11">U12</f>
        <v>0</v>
      </c>
      <c r="L58" s="325"/>
      <c r="V58" s="325"/>
      <c r="W58" s="325"/>
    </row>
    <row r="59" spans="4:23" ht="18" hidden="1" customHeight="1">
      <c r="D59" s="329" t="str">
        <f t="shared" si="4"/>
        <v>Instalaciones</v>
      </c>
      <c r="E59" s="330">
        <f t="shared" si="5"/>
        <v>0</v>
      </c>
      <c r="F59" s="330">
        <f t="shared" si="6"/>
        <v>0</v>
      </c>
      <c r="G59" s="330">
        <f t="shared" si="7"/>
        <v>0</v>
      </c>
      <c r="H59" s="330">
        <f t="shared" si="8"/>
        <v>0</v>
      </c>
      <c r="I59" s="330">
        <f t="shared" si="9"/>
        <v>0</v>
      </c>
      <c r="J59" s="330">
        <f t="shared" si="10"/>
        <v>0</v>
      </c>
      <c r="K59" s="330">
        <f t="shared" si="11"/>
        <v>0</v>
      </c>
      <c r="L59" s="325"/>
      <c r="V59" s="325"/>
      <c r="W59" s="325"/>
    </row>
    <row r="60" spans="4:23" ht="18" hidden="1" customHeight="1">
      <c r="D60" s="329" t="str">
        <f t="shared" si="4"/>
        <v>Maquinaria</v>
      </c>
      <c r="E60" s="330">
        <f t="shared" si="5"/>
        <v>0</v>
      </c>
      <c r="F60" s="330">
        <f t="shared" si="6"/>
        <v>0</v>
      </c>
      <c r="G60" s="330">
        <f t="shared" si="7"/>
        <v>0</v>
      </c>
      <c r="H60" s="330">
        <f t="shared" si="8"/>
        <v>0</v>
      </c>
      <c r="I60" s="330">
        <f t="shared" si="9"/>
        <v>0</v>
      </c>
      <c r="J60" s="330">
        <f t="shared" si="10"/>
        <v>0</v>
      </c>
      <c r="K60" s="330">
        <f t="shared" si="11"/>
        <v>0</v>
      </c>
      <c r="L60" s="325"/>
      <c r="V60" s="325"/>
      <c r="W60" s="325"/>
    </row>
    <row r="61" spans="4:23" ht="18" hidden="1" customHeight="1">
      <c r="D61" s="329" t="str">
        <f t="shared" si="4"/>
        <v>Mobiliario de oficina</v>
      </c>
      <c r="E61" s="330">
        <f t="shared" si="5"/>
        <v>0</v>
      </c>
      <c r="F61" s="330">
        <f t="shared" si="6"/>
        <v>0</v>
      </c>
      <c r="G61" s="330">
        <f t="shared" si="7"/>
        <v>0</v>
      </c>
      <c r="H61" s="330">
        <f t="shared" si="8"/>
        <v>0</v>
      </c>
      <c r="I61" s="330">
        <f t="shared" si="9"/>
        <v>0</v>
      </c>
      <c r="J61" s="330">
        <f t="shared" si="10"/>
        <v>0</v>
      </c>
      <c r="K61" s="330">
        <f t="shared" si="11"/>
        <v>0</v>
      </c>
      <c r="L61" s="325"/>
      <c r="V61" s="325"/>
      <c r="W61" s="325"/>
    </row>
    <row r="62" spans="4:23" ht="18" hidden="1" customHeight="1">
      <c r="D62" s="329" t="str">
        <f t="shared" si="4"/>
        <v>Vehículos de transporte</v>
      </c>
      <c r="E62" s="330">
        <f t="shared" si="5"/>
        <v>0</v>
      </c>
      <c r="F62" s="330">
        <f t="shared" si="6"/>
        <v>0</v>
      </c>
      <c r="G62" s="330">
        <f t="shared" si="7"/>
        <v>0</v>
      </c>
      <c r="H62" s="330">
        <f t="shared" si="8"/>
        <v>0</v>
      </c>
      <c r="I62" s="330">
        <f t="shared" si="9"/>
        <v>0</v>
      </c>
      <c r="J62" s="330">
        <f t="shared" si="10"/>
        <v>0</v>
      </c>
      <c r="K62" s="330">
        <f t="shared" si="11"/>
        <v>0</v>
      </c>
      <c r="L62" s="325"/>
      <c r="V62" s="325"/>
      <c r="W62" s="325"/>
    </row>
    <row r="63" spans="4:23" ht="18" hidden="1" customHeight="1">
      <c r="D63" s="329" t="str">
        <f t="shared" si="4"/>
        <v>Equipamientos informáticos</v>
      </c>
      <c r="E63" s="330">
        <f t="shared" si="5"/>
        <v>0</v>
      </c>
      <c r="F63" s="330">
        <f t="shared" si="6"/>
        <v>0</v>
      </c>
      <c r="G63" s="330">
        <f t="shared" si="7"/>
        <v>0</v>
      </c>
      <c r="H63" s="330">
        <f t="shared" si="8"/>
        <v>0</v>
      </c>
      <c r="I63" s="330">
        <f t="shared" si="9"/>
        <v>0</v>
      </c>
      <c r="J63" s="330">
        <f t="shared" si="10"/>
        <v>0</v>
      </c>
      <c r="K63" s="330">
        <f t="shared" si="11"/>
        <v>0</v>
      </c>
      <c r="L63" s="325"/>
      <c r="V63" s="325"/>
      <c r="W63" s="325"/>
    </row>
    <row r="64" spans="4:23" ht="20.25" hidden="1" customHeight="1">
      <c r="D64" s="331" t="str">
        <f t="shared" si="4"/>
        <v>Inmovilizaciones realizadas por la propia empresa</v>
      </c>
      <c r="E64" s="330">
        <f t="shared" si="5"/>
        <v>0</v>
      </c>
      <c r="F64" s="330"/>
      <c r="G64" s="330">
        <f t="shared" si="7"/>
        <v>0</v>
      </c>
      <c r="H64" s="330">
        <f t="shared" si="8"/>
        <v>0</v>
      </c>
      <c r="I64" s="330">
        <f t="shared" si="9"/>
        <v>0</v>
      </c>
      <c r="J64" s="330">
        <f t="shared" si="10"/>
        <v>0</v>
      </c>
      <c r="K64" s="330">
        <f t="shared" si="11"/>
        <v>0</v>
      </c>
      <c r="L64" s="325"/>
      <c r="V64" s="325"/>
      <c r="W64" s="325"/>
    </row>
    <row r="65" spans="4:23" ht="18" hidden="1" customHeight="1">
      <c r="D65" s="329" t="str">
        <f t="shared" si="4"/>
        <v>Otras inversiones materiales</v>
      </c>
      <c r="E65" s="330">
        <f t="shared" si="5"/>
        <v>0</v>
      </c>
      <c r="F65" s="330">
        <f>G19</f>
        <v>0</v>
      </c>
      <c r="G65" s="330">
        <f t="shared" si="7"/>
        <v>0</v>
      </c>
      <c r="H65" s="330">
        <f t="shared" si="8"/>
        <v>0</v>
      </c>
      <c r="I65" s="330">
        <f t="shared" si="9"/>
        <v>0</v>
      </c>
      <c r="J65" s="330">
        <f t="shared" si="10"/>
        <v>0</v>
      </c>
      <c r="K65" s="330">
        <f t="shared" si="11"/>
        <v>0</v>
      </c>
      <c r="L65" s="325"/>
      <c r="V65" s="325"/>
      <c r="W65" s="325"/>
    </row>
    <row r="66" spans="4:23" ht="18" hidden="1" customHeight="1">
      <c r="M66" s="327"/>
      <c r="N66" s="325"/>
      <c r="O66" s="326"/>
      <c r="P66" s="327"/>
      <c r="Q66" s="325"/>
      <c r="R66" s="326"/>
      <c r="S66" s="327"/>
      <c r="T66" s="325"/>
      <c r="U66" s="326"/>
      <c r="V66" s="327"/>
      <c r="W66" s="325"/>
    </row>
    <row r="67" spans="4:23" ht="18" hidden="1" customHeight="1">
      <c r="D67" s="332"/>
      <c r="E67" s="328" t="s">
        <v>458</v>
      </c>
      <c r="F67" s="328" t="s">
        <v>459</v>
      </c>
      <c r="G67" s="328" t="s">
        <v>60</v>
      </c>
      <c r="H67" s="328" t="s">
        <v>61</v>
      </c>
      <c r="I67" s="328" t="s">
        <v>62</v>
      </c>
      <c r="J67" s="328" t="s">
        <v>176</v>
      </c>
      <c r="K67" s="328" t="s">
        <v>177</v>
      </c>
      <c r="L67" s="325"/>
      <c r="V67" s="325"/>
      <c r="W67" s="325"/>
    </row>
    <row r="68" spans="4:23" ht="18" hidden="1" customHeight="1">
      <c r="D68" s="329" t="str">
        <f>D55</f>
        <v>Aplicaciones informáticas</v>
      </c>
      <c r="E68" s="333">
        <f>IF(F7&gt;0,1/F7,0)</f>
        <v>0.33333333333333331</v>
      </c>
      <c r="F68" s="333">
        <f>IF(H7&gt;0,1/H7,0)</f>
        <v>0.33333333333333331</v>
      </c>
      <c r="G68" s="333">
        <f>IF(J7&gt;0,1/J7,0)</f>
        <v>0.33333333333333331</v>
      </c>
      <c r="H68" s="333">
        <f>IF(M7&gt;0,1/M7,0)</f>
        <v>0.33333333333333331</v>
      </c>
      <c r="I68" s="333">
        <f>IF(P7&gt;0,1/P7,0)</f>
        <v>0.33333333333333331</v>
      </c>
      <c r="J68" s="333">
        <f>IF(S7&gt;0,1/S7,0)</f>
        <v>0.33333333333333331</v>
      </c>
      <c r="K68" s="333">
        <f>IF(V7&gt;0,1/V7,0)</f>
        <v>0.33333333333333331</v>
      </c>
      <c r="L68" s="325"/>
      <c r="V68" s="325"/>
      <c r="W68" s="325"/>
    </row>
    <row r="69" spans="4:23" ht="20.25" hidden="1" customHeight="1">
      <c r="D69" s="331" t="str">
        <f>D56</f>
        <v>Inmovilizaciones realizadas por la propia empresa</v>
      </c>
      <c r="E69" s="333">
        <f>IF(F8&gt;0,1/F8,0)</f>
        <v>0.2</v>
      </c>
      <c r="F69" s="333">
        <f>IF(H8&gt;0,1/H8,0)</f>
        <v>0.2</v>
      </c>
      <c r="G69" s="333">
        <f>IF(J8&gt;0,1/J8,0)</f>
        <v>0.2</v>
      </c>
      <c r="H69" s="333">
        <f>IF(M8&gt;0,1/M8,0)</f>
        <v>0.2</v>
      </c>
      <c r="I69" s="333">
        <f>IF(P8&gt;0,1/P8,0)</f>
        <v>0.2</v>
      </c>
      <c r="J69" s="333">
        <f>IF(S8&gt;0,1/S8,0)</f>
        <v>0.2</v>
      </c>
      <c r="K69" s="333">
        <f>IF(V8&gt;0,1/V8,0)</f>
        <v>0.2</v>
      </c>
      <c r="L69" s="325"/>
      <c r="V69" s="325"/>
      <c r="W69" s="325"/>
    </row>
    <row r="70" spans="4:23" ht="18" hidden="1" customHeight="1">
      <c r="D70" s="329" t="str">
        <f>D57</f>
        <v>Otras inversiones intangibles</v>
      </c>
      <c r="E70" s="333">
        <f>IF(F9&gt;0,1/F9,0)</f>
        <v>0.2</v>
      </c>
      <c r="F70" s="333">
        <f>IF(H9&gt;0,1/H9,0)</f>
        <v>0.2</v>
      </c>
      <c r="G70" s="333">
        <f>IF(J9&gt;0,1/J9,0)</f>
        <v>0.2</v>
      </c>
      <c r="H70" s="333">
        <f>IF(M9&gt;0,1/M9,0)</f>
        <v>0.2</v>
      </c>
      <c r="I70" s="333">
        <f>IF(P9&gt;0,1/P9,0)</f>
        <v>0.2</v>
      </c>
      <c r="J70" s="333">
        <f>IF(S9&gt;0,1/S9,0)</f>
        <v>0.2</v>
      </c>
      <c r="K70" s="333">
        <f>IF(V9&gt;0,1/V9,0)</f>
        <v>0.2</v>
      </c>
      <c r="L70" s="325"/>
      <c r="V70" s="325"/>
      <c r="W70" s="325"/>
    </row>
    <row r="71" spans="4:23" ht="18" hidden="1" customHeight="1">
      <c r="D71" s="329" t="str">
        <f t="shared" ref="D71:D76" si="12">D58</f>
        <v>Edificaciones</v>
      </c>
      <c r="E71" s="333">
        <f>IF(F12&gt;0,1/F12,0)</f>
        <v>3.3333333333333333E-2</v>
      </c>
      <c r="F71" s="333">
        <f t="shared" ref="F71:F78" si="13">IF(H12&gt;0,1/H12,0)</f>
        <v>3.3333333333333333E-2</v>
      </c>
      <c r="G71" s="333">
        <f>IF(J12&gt;0,1/J12,0)</f>
        <v>3.3333333333333333E-2</v>
      </c>
      <c r="H71" s="333">
        <f>IF(M12&gt;0,1/M12,0)</f>
        <v>3.3333333333333333E-2</v>
      </c>
      <c r="I71" s="333">
        <f>IF(P12&gt;0,1/P12,0)</f>
        <v>3.3333333333333333E-2</v>
      </c>
      <c r="J71" s="333">
        <f>IF(S12&gt;0,1/S12,0)</f>
        <v>3.3333333333333333E-2</v>
      </c>
      <c r="K71" s="333">
        <f>IF(V12&gt;0,1/V12,0)</f>
        <v>3.3333333333333333E-2</v>
      </c>
      <c r="L71" s="325"/>
      <c r="V71" s="325"/>
      <c r="W71" s="325"/>
    </row>
    <row r="72" spans="4:23" ht="18" hidden="1" customHeight="1">
      <c r="D72" s="329" t="str">
        <f t="shared" si="12"/>
        <v>Instalaciones</v>
      </c>
      <c r="E72" s="333">
        <f t="shared" ref="E72:E78" si="14">IF(F13&gt;0,1/F13,0)</f>
        <v>6.6666666666666666E-2</v>
      </c>
      <c r="F72" s="333">
        <f t="shared" si="13"/>
        <v>6.6666666666666666E-2</v>
      </c>
      <c r="G72" s="333">
        <f t="shared" ref="G72:G78" si="15">IF(J13&gt;0,1/J13,0)</f>
        <v>6.6666666666666666E-2</v>
      </c>
      <c r="H72" s="333">
        <f t="shared" ref="H72:H78" si="16">IF(M13&gt;0,1/M13,0)</f>
        <v>6.6666666666666666E-2</v>
      </c>
      <c r="I72" s="333">
        <f t="shared" ref="I72:I78" si="17">IF(P13&gt;0,1/P13,0)</f>
        <v>6.6666666666666666E-2</v>
      </c>
      <c r="J72" s="333">
        <f t="shared" ref="J72:J78" si="18">IF(S13&gt;0,1/S13,0)</f>
        <v>6.6666666666666666E-2</v>
      </c>
      <c r="K72" s="333">
        <f t="shared" ref="K72:K78" si="19">IF(V13&gt;0,1/V13,0)</f>
        <v>6.6666666666666666E-2</v>
      </c>
      <c r="L72" s="325"/>
      <c r="V72" s="325"/>
      <c r="W72" s="325"/>
    </row>
    <row r="73" spans="4:23" ht="18" hidden="1" customHeight="1">
      <c r="D73" s="329" t="str">
        <f t="shared" si="12"/>
        <v>Maquinaria</v>
      </c>
      <c r="E73" s="333">
        <f t="shared" si="14"/>
        <v>0.1</v>
      </c>
      <c r="F73" s="333">
        <f t="shared" si="13"/>
        <v>0.1</v>
      </c>
      <c r="G73" s="333">
        <f t="shared" si="15"/>
        <v>0.1</v>
      </c>
      <c r="H73" s="333">
        <f t="shared" si="16"/>
        <v>0.1</v>
      </c>
      <c r="I73" s="333">
        <f t="shared" si="17"/>
        <v>0.1</v>
      </c>
      <c r="J73" s="333">
        <f t="shared" si="18"/>
        <v>0.1</v>
      </c>
      <c r="K73" s="333">
        <f t="shared" si="19"/>
        <v>0.1</v>
      </c>
      <c r="L73" s="325"/>
      <c r="V73" s="325"/>
      <c r="W73" s="325"/>
    </row>
    <row r="74" spans="4:23" ht="18" hidden="1" customHeight="1">
      <c r="D74" s="329" t="str">
        <f t="shared" si="12"/>
        <v>Mobiliario de oficina</v>
      </c>
      <c r="E74" s="333">
        <f t="shared" si="14"/>
        <v>0.1</v>
      </c>
      <c r="F74" s="333">
        <f t="shared" si="13"/>
        <v>0.1</v>
      </c>
      <c r="G74" s="333">
        <f t="shared" si="15"/>
        <v>0.1</v>
      </c>
      <c r="H74" s="333">
        <f t="shared" si="16"/>
        <v>0.1</v>
      </c>
      <c r="I74" s="333">
        <f t="shared" si="17"/>
        <v>0.25</v>
      </c>
      <c r="J74" s="333">
        <f t="shared" si="18"/>
        <v>0.25</v>
      </c>
      <c r="K74" s="333">
        <f t="shared" si="19"/>
        <v>0.25</v>
      </c>
      <c r="L74" s="325"/>
      <c r="V74" s="325"/>
      <c r="W74" s="325"/>
    </row>
    <row r="75" spans="4:23" ht="18" hidden="1" customHeight="1">
      <c r="D75" s="329" t="str">
        <f t="shared" si="12"/>
        <v>Vehículos de transporte</v>
      </c>
      <c r="E75" s="333">
        <f t="shared" si="14"/>
        <v>0.1</v>
      </c>
      <c r="F75" s="333">
        <f t="shared" si="13"/>
        <v>0.1</v>
      </c>
      <c r="G75" s="333">
        <f t="shared" si="15"/>
        <v>0.1</v>
      </c>
      <c r="H75" s="333">
        <f t="shared" si="16"/>
        <v>0.1</v>
      </c>
      <c r="I75" s="333">
        <f t="shared" si="17"/>
        <v>0.1</v>
      </c>
      <c r="J75" s="333">
        <f t="shared" si="18"/>
        <v>0.1</v>
      </c>
      <c r="K75" s="333">
        <f t="shared" si="19"/>
        <v>0.1</v>
      </c>
      <c r="L75" s="325"/>
      <c r="V75" s="325"/>
      <c r="W75" s="325"/>
    </row>
    <row r="76" spans="4:23" ht="18" hidden="1" customHeight="1">
      <c r="D76" s="329" t="str">
        <f t="shared" si="12"/>
        <v>Equipamientos informáticos</v>
      </c>
      <c r="E76" s="333">
        <f t="shared" si="14"/>
        <v>0.25</v>
      </c>
      <c r="F76" s="333">
        <f t="shared" si="13"/>
        <v>0.25</v>
      </c>
      <c r="G76" s="333">
        <f t="shared" si="15"/>
        <v>0.25</v>
      </c>
      <c r="H76" s="333">
        <f t="shared" si="16"/>
        <v>0.25</v>
      </c>
      <c r="I76" s="333">
        <f t="shared" si="17"/>
        <v>0.25</v>
      </c>
      <c r="J76" s="333">
        <f t="shared" si="18"/>
        <v>0.25</v>
      </c>
      <c r="K76" s="333">
        <f t="shared" si="19"/>
        <v>0.25</v>
      </c>
      <c r="L76" s="325"/>
      <c r="V76" s="325"/>
      <c r="W76" s="325"/>
    </row>
    <row r="77" spans="4:23" ht="20.25" hidden="1" customHeight="1">
      <c r="D77" s="331" t="str">
        <f>D64</f>
        <v>Inmovilizaciones realizadas por la propia empresa</v>
      </c>
      <c r="E77" s="333">
        <f t="shared" si="14"/>
        <v>0.1</v>
      </c>
      <c r="F77" s="333">
        <f t="shared" si="13"/>
        <v>0.1</v>
      </c>
      <c r="G77" s="333">
        <f t="shared" si="15"/>
        <v>0.1</v>
      </c>
      <c r="H77" s="333">
        <f t="shared" si="16"/>
        <v>0.1</v>
      </c>
      <c r="I77" s="333">
        <f t="shared" si="17"/>
        <v>0.1</v>
      </c>
      <c r="J77" s="333">
        <f t="shared" si="18"/>
        <v>0.1</v>
      </c>
      <c r="K77" s="333">
        <f t="shared" si="19"/>
        <v>0.1</v>
      </c>
      <c r="L77" s="325"/>
      <c r="V77" s="325"/>
      <c r="W77" s="325"/>
    </row>
    <row r="78" spans="4:23" ht="20.25" hidden="1" customHeight="1">
      <c r="D78" s="329" t="str">
        <f>D65</f>
        <v>Otras inversiones materiales</v>
      </c>
      <c r="E78" s="333">
        <f t="shared" si="14"/>
        <v>0.1</v>
      </c>
      <c r="F78" s="333">
        <f t="shared" si="13"/>
        <v>0.1</v>
      </c>
      <c r="G78" s="333">
        <f t="shared" si="15"/>
        <v>0.1</v>
      </c>
      <c r="H78" s="333">
        <f t="shared" si="16"/>
        <v>0.1</v>
      </c>
      <c r="I78" s="333">
        <f t="shared" si="17"/>
        <v>0.1</v>
      </c>
      <c r="J78" s="333">
        <f t="shared" si="18"/>
        <v>0.1</v>
      </c>
      <c r="K78" s="333">
        <f t="shared" si="19"/>
        <v>0.1</v>
      </c>
      <c r="L78" s="325"/>
      <c r="V78" s="325"/>
      <c r="W78" s="325"/>
    </row>
    <row r="79" spans="4:23" ht="18" hidden="1" customHeight="1"/>
    <row r="80" spans="4:23" ht="18" hidden="1" customHeight="1">
      <c r="D80" s="329" t="str">
        <f>D68</f>
        <v>Aplicaciones informáticas</v>
      </c>
      <c r="E80" s="961" t="s">
        <v>183</v>
      </c>
      <c r="F80" s="962"/>
      <c r="G80" s="962"/>
      <c r="H80" s="962"/>
      <c r="I80" s="963"/>
      <c r="J80" s="330" t="s">
        <v>184</v>
      </c>
      <c r="L80" s="327"/>
      <c r="M80" s="325"/>
      <c r="N80" s="326"/>
      <c r="O80" s="327"/>
      <c r="P80" s="325"/>
      <c r="Q80" s="326"/>
      <c r="R80" s="327"/>
      <c r="S80" s="325"/>
      <c r="T80" s="325"/>
      <c r="V80" s="325"/>
      <c r="W80" s="325"/>
    </row>
    <row r="81" spans="4:23" ht="18" hidden="1" customHeight="1">
      <c r="D81" s="329" t="s">
        <v>178</v>
      </c>
      <c r="E81" s="334">
        <f>$E$55*$E$68+$F$55*$E$68+$G$55*$G$68</f>
        <v>0</v>
      </c>
      <c r="F81" s="334"/>
      <c r="G81" s="334"/>
      <c r="H81" s="334"/>
      <c r="I81" s="334"/>
      <c r="J81" s="330">
        <f>SUM(E81:I81)</f>
        <v>0</v>
      </c>
      <c r="L81" s="327"/>
      <c r="M81" s="325"/>
      <c r="N81" s="326"/>
      <c r="O81" s="327"/>
      <c r="P81" s="325"/>
      <c r="Q81" s="326"/>
      <c r="R81" s="327"/>
      <c r="S81" s="325"/>
      <c r="T81" s="325"/>
      <c r="V81" s="325"/>
      <c r="W81" s="325"/>
    </row>
    <row r="82" spans="4:23" ht="18" hidden="1" customHeight="1">
      <c r="D82" s="329" t="s">
        <v>179</v>
      </c>
      <c r="E82" s="334">
        <f>IF(1-$E$68&gt;=$E$68,$E$68*$E$55,(1-$E$68)*$E$55)+IF(1-$F$68&gt;=$F$68,$F$68*$F$55,(1-$F$68)*$F$55)+IF(1-$G$68&gt;=$G$68,$G$68*$G$55,(1-$G$68)*$G$55)</f>
        <v>0</v>
      </c>
      <c r="F82" s="334">
        <f>$H$55*$H$68</f>
        <v>0</v>
      </c>
      <c r="G82" s="334"/>
      <c r="H82" s="334"/>
      <c r="I82" s="334"/>
      <c r="J82" s="330">
        <f>SUM(E82:I82)</f>
        <v>0</v>
      </c>
      <c r="L82" s="327"/>
      <c r="M82" s="325"/>
      <c r="N82" s="326"/>
      <c r="O82" s="327"/>
      <c r="P82" s="325"/>
      <c r="Q82" s="326"/>
      <c r="R82" s="327"/>
      <c r="S82" s="325"/>
      <c r="T82" s="325"/>
      <c r="V82" s="325"/>
      <c r="W82" s="325"/>
    </row>
    <row r="83" spans="4:23" ht="18" hidden="1" customHeight="1">
      <c r="D83" s="329" t="s">
        <v>180</v>
      </c>
      <c r="E83" s="334">
        <f>IF(1-2*$E$68&gt;=$E$68,$E$68*$E$55,IF((1-2*$E$68)&lt;=0,0,(1-2*$E$68)*$E$55))+IF(1-2*$F$68&gt;=$F$68,$F$68*$F$55,IF((1-2*$F$68)&lt;=0,0,(1-2*$F$68)*$F$55))+IF(1-2*$G$68&gt;=$G$68,$G$68*$G$55,IF((1-2*$G$68)&lt;=0,0,(1-2*$G$68)*$G$55))</f>
        <v>0</v>
      </c>
      <c r="F83" s="334">
        <f>IF(1-$H$68&gt;=$H$68,$H$68*$H$55,(1-$H$68)*$H$55)</f>
        <v>0</v>
      </c>
      <c r="G83" s="334">
        <f>$I$55*$I$68</f>
        <v>0</v>
      </c>
      <c r="H83" s="334"/>
      <c r="I83" s="334"/>
      <c r="J83" s="330">
        <f>SUM(E83:I83)</f>
        <v>0</v>
      </c>
      <c r="L83" s="327"/>
      <c r="M83" s="325"/>
      <c r="N83" s="326"/>
      <c r="O83" s="327"/>
      <c r="P83" s="325"/>
      <c r="Q83" s="326"/>
      <c r="R83" s="327"/>
      <c r="S83" s="325"/>
      <c r="T83" s="325"/>
      <c r="V83" s="325"/>
      <c r="W83" s="325"/>
    </row>
    <row r="84" spans="4:23" ht="18" hidden="1" customHeight="1">
      <c r="D84" s="329" t="s">
        <v>181</v>
      </c>
      <c r="E84" s="334">
        <f>IF(1-3*$E$68&gt;=$E$68,$E$68*$E$55,IF((1-3*$E$68)&lt;=0,0,(1-3*$E$68)*$E$55))+IF(1-3*$F$68&gt;=$F$68,$F$68*$F$55,IF((1-3*$F$68)&lt;=0,0,(1-3*$F$68)*$F$55))+IF(1-3*$G$68&gt;=$G$68,$G$68*$G$55,IF((1-3*$G$68)&lt;=0,0,(1-3*$G$68)*$G$55))</f>
        <v>0</v>
      </c>
      <c r="F84" s="334">
        <f>IF(1-2*$H$68&gt;=$H$68,$H$68*$H$55,IF((1-2*$H$68)&lt;=0,0,(1-2*$H$68)*$H$55))</f>
        <v>0</v>
      </c>
      <c r="G84" s="334">
        <f>IF(1-$I$68&gt;=$I$68,$I$68*$I$55,(1-$I$68)*$I$55)</f>
        <v>0</v>
      </c>
      <c r="H84" s="334">
        <f>$J$55*$J$68</f>
        <v>0</v>
      </c>
      <c r="I84" s="334"/>
      <c r="J84" s="330">
        <f>SUM(E84:I84)</f>
        <v>0</v>
      </c>
      <c r="L84" s="327"/>
      <c r="M84" s="325"/>
      <c r="N84" s="326"/>
      <c r="O84" s="327"/>
      <c r="P84" s="325"/>
      <c r="Q84" s="326"/>
      <c r="R84" s="327"/>
      <c r="S84" s="325"/>
      <c r="T84" s="325"/>
      <c r="V84" s="325"/>
      <c r="W84" s="325"/>
    </row>
    <row r="85" spans="4:23" ht="18" hidden="1" customHeight="1">
      <c r="D85" s="329" t="s">
        <v>182</v>
      </c>
      <c r="E85" s="334">
        <f>IF(1-4*$E$68&gt;=$E$68,$E$68*$E$55,IF((1-4*$E$68)&lt;=0,0,(1-4*$E$68)*$E$55))+IF(1-4*$F$68&gt;=$F$68,$F$68*$F$55,IF((1-4*$F$68)&lt;=0,0,(1-4*$F$68)*$F$55))+IF(1-4*$G$68&gt;=$G$68,$G$68*$G$55,IF((1-4*$G$68)&lt;=0,0,(1-4*$G$68)*$G$55))</f>
        <v>0</v>
      </c>
      <c r="F85" s="334">
        <f>IF(1-3*$H68&gt;=$H$68,$H$68*$H$55,IF((1-3*$H$68)&lt;=0,0,(1-3*$H$68)*$H$55))</f>
        <v>0</v>
      </c>
      <c r="G85" s="334">
        <f>IF(1-2*$I$68&gt;=$I$68,$I$68*$I$55,IF((1-2*$I$68)&lt;=0,0,(1-2*$I$68)*$I$55))</f>
        <v>0</v>
      </c>
      <c r="H85" s="334">
        <f>IF(1-$J$68&gt;=$J$68,$J$68*$J$55,(1-$J$68)*$J$55)</f>
        <v>0</v>
      </c>
      <c r="I85" s="334">
        <f>$K$55*$K$68</f>
        <v>0</v>
      </c>
      <c r="J85" s="330">
        <f>SUM(E85:I85)</f>
        <v>0</v>
      </c>
      <c r="L85" s="327"/>
      <c r="M85" s="325"/>
      <c r="N85" s="326"/>
      <c r="O85" s="327"/>
      <c r="P85" s="325"/>
      <c r="Q85" s="326"/>
      <c r="R85" s="327"/>
      <c r="S85" s="325"/>
      <c r="T85" s="325"/>
      <c r="V85" s="325"/>
      <c r="W85" s="325"/>
    </row>
    <row r="86" spans="4:23" ht="18" hidden="1" customHeight="1">
      <c r="D86" s="335"/>
      <c r="E86" s="336"/>
      <c r="F86" s="336"/>
      <c r="G86" s="336"/>
      <c r="H86" s="336"/>
      <c r="I86" s="337"/>
      <c r="K86" s="327"/>
      <c r="L86" s="325"/>
      <c r="S86" s="325"/>
      <c r="T86" s="325"/>
      <c r="V86" s="325"/>
      <c r="W86" s="325"/>
    </row>
    <row r="87" spans="4:23" ht="22.5" hidden="1" customHeight="1">
      <c r="D87" s="331" t="str">
        <f>D69</f>
        <v>Inmovilizaciones realizadas por la propia empresa</v>
      </c>
      <c r="E87" s="961" t="s">
        <v>183</v>
      </c>
      <c r="F87" s="962"/>
      <c r="G87" s="962"/>
      <c r="H87" s="962"/>
      <c r="I87" s="963"/>
      <c r="J87" s="330" t="s">
        <v>184</v>
      </c>
      <c r="L87" s="327"/>
      <c r="M87" s="325"/>
      <c r="N87" s="326"/>
      <c r="O87" s="327"/>
      <c r="P87" s="325"/>
      <c r="Q87" s="326"/>
      <c r="R87" s="327"/>
      <c r="S87" s="325"/>
      <c r="T87" s="325"/>
      <c r="V87" s="325"/>
      <c r="W87" s="325"/>
    </row>
    <row r="88" spans="4:23" ht="18" hidden="1" customHeight="1">
      <c r="D88" s="329" t="s">
        <v>178</v>
      </c>
      <c r="E88" s="334">
        <f>$E$56*$E$69+$F$56*$E$69+$G$56*$G$69</f>
        <v>0</v>
      </c>
      <c r="F88" s="334"/>
      <c r="G88" s="334"/>
      <c r="H88" s="334"/>
      <c r="I88" s="334"/>
      <c r="J88" s="330">
        <f>SUM(E88:I88)</f>
        <v>0</v>
      </c>
      <c r="L88" s="327"/>
      <c r="M88" s="325"/>
      <c r="N88" s="326"/>
      <c r="O88" s="327"/>
      <c r="P88" s="325"/>
      <c r="Q88" s="326"/>
      <c r="R88" s="327"/>
      <c r="S88" s="325"/>
      <c r="T88" s="325"/>
      <c r="V88" s="325"/>
      <c r="W88" s="325"/>
    </row>
    <row r="89" spans="4:23" ht="18" hidden="1" customHeight="1">
      <c r="D89" s="329" t="s">
        <v>179</v>
      </c>
      <c r="E89" s="334">
        <f>IF(1-$E$69&gt;=$E$69,$E$69*$E$56,(1-$E$69)*$E$56)+IF(1-$F$69&gt;=$F$69,$F$69*$F$56,(1-$F$69)*$F$56)+IF(1-$G$69&gt;=$G$69,$G$69*$G$56,(1-$G$69)*$G$56)</f>
        <v>0</v>
      </c>
      <c r="F89" s="334">
        <f>$H$56*$H$69</f>
        <v>0</v>
      </c>
      <c r="G89" s="334"/>
      <c r="H89" s="334"/>
      <c r="I89" s="334"/>
      <c r="J89" s="330">
        <f>SUM(E89:I89)</f>
        <v>0</v>
      </c>
      <c r="L89" s="327"/>
      <c r="M89" s="325"/>
      <c r="N89" s="326"/>
      <c r="O89" s="327"/>
      <c r="P89" s="325"/>
      <c r="Q89" s="326"/>
      <c r="R89" s="327"/>
      <c r="S89" s="325"/>
      <c r="T89" s="325"/>
      <c r="V89" s="325"/>
      <c r="W89" s="325"/>
    </row>
    <row r="90" spans="4:23" ht="18" hidden="1" customHeight="1">
      <c r="D90" s="329" t="s">
        <v>180</v>
      </c>
      <c r="E90" s="334">
        <f>IF(1-2*$E$69&gt;=$E$69,$E$69*$E$56,IF((1-2*$E$69)&lt;=0,0,(1-2*$E$69)*$E$56))+IF(1-2*$F$69&gt;=$F$69,$F$69*$F$56,IF((1-2*$F$69)&lt;=0,0,(1-2*$F$69)*$F$56))+IF(1-2*$G$69&gt;=$G$69,$G$69*$G$56,IF((1-2*$G$69)&lt;=0,0,(1-2*$G$69)*$G$56))</f>
        <v>0</v>
      </c>
      <c r="F90" s="334">
        <f>IF(1-$H$69&gt;=$H$69,$H$69*$H$56,(1-$H$69)*$H$56)</f>
        <v>0</v>
      </c>
      <c r="G90" s="334">
        <f>$I$56*$I$69</f>
        <v>0</v>
      </c>
      <c r="H90" s="334"/>
      <c r="I90" s="334"/>
      <c r="J90" s="330">
        <f>SUM(E90:I90)</f>
        <v>0</v>
      </c>
      <c r="L90" s="327"/>
      <c r="M90" s="325"/>
      <c r="N90" s="326"/>
      <c r="O90" s="327"/>
      <c r="P90" s="325"/>
      <c r="Q90" s="326"/>
      <c r="R90" s="327"/>
      <c r="S90" s="325"/>
      <c r="T90" s="325"/>
      <c r="V90" s="325"/>
      <c r="W90" s="325"/>
    </row>
    <row r="91" spans="4:23" ht="18" hidden="1" customHeight="1">
      <c r="D91" s="329" t="s">
        <v>181</v>
      </c>
      <c r="E91" s="334">
        <f>IF(1-3*$E$69&gt;=$E$69,$E$69*$E$56,IF((1-3*$E$69)&lt;=0,0,(1-3*$E$69)*$E$56))+IF(1-3*$F$69&gt;=$F$69,$F$69*$F$56,IF((1-3*$F$69)&lt;=0,0,(1-3*$F$69)*$F$56))+IF(1-3*$G$69&gt;=$G$69,$G$69*$G$56,IF((1-3*$G$69)&lt;=0,0,(1-3*$G$69)*$G$56))</f>
        <v>0</v>
      </c>
      <c r="F91" s="334">
        <f>IF(1-2*$H$69&gt;=$H$69,$H$69*$H$56,IF((1-2*$H$69)&lt;=0,0,(1-2*$H$69)*$H$56))</f>
        <v>0</v>
      </c>
      <c r="G91" s="334">
        <f>IF(1-$I$69&gt;=$I$69,$I$69*$I$56,(1-$I$69)*$I$56)</f>
        <v>0</v>
      </c>
      <c r="H91" s="334">
        <f>$J$56*$J$69</f>
        <v>0</v>
      </c>
      <c r="I91" s="334"/>
      <c r="J91" s="330">
        <f>SUM(E91:I91)</f>
        <v>0</v>
      </c>
      <c r="L91" s="327"/>
      <c r="M91" s="325"/>
      <c r="N91" s="326"/>
      <c r="O91" s="327"/>
      <c r="P91" s="325"/>
      <c r="Q91" s="326"/>
      <c r="R91" s="327"/>
      <c r="S91" s="325"/>
      <c r="T91" s="325"/>
      <c r="V91" s="325"/>
      <c r="W91" s="325"/>
    </row>
    <row r="92" spans="4:23" ht="18" hidden="1" customHeight="1">
      <c r="D92" s="329" t="s">
        <v>182</v>
      </c>
      <c r="E92" s="334">
        <f>IF(1-4*$E$69&gt;=$E$69,$E$69*$E$56,IF((1-4*$E$69)&lt;=0,0,(1-4*$E$69)*$E$56))+IF(1-4*$F$69&gt;=$F$69,$F$69*$F$56,IF((1-4*$F$69)&lt;=0,0,(1-4*$F$69)*$F$56))+IF(1-4*$G$69&gt;=$G$69,$G$69*$G$56,IF((1-4*$G$69)&lt;=0,0,(1-4*$G$69)*$G$56))</f>
        <v>0</v>
      </c>
      <c r="F92" s="334">
        <f>IF(1-3*$H$69&gt;=$H$69,$H$69*$H$56,IF((1-3*$H$69)&lt;=0,0,(1-3*$H$69)*$H$56))</f>
        <v>0</v>
      </c>
      <c r="G92" s="334">
        <f>IF(1-2*$I$69&gt;=$I$69,$I$69*$I$56,IF((1-2*$I$69)&lt;=0,0,(1-2*$I$69)*$I$56))</f>
        <v>0</v>
      </c>
      <c r="H92" s="334">
        <f>IF(1-$J$69&gt;=$J$69,$J$69*$J$56,(1-$J$69)*$J$56)</f>
        <v>0</v>
      </c>
      <c r="I92" s="334">
        <f>$K$56*$K$69</f>
        <v>0</v>
      </c>
      <c r="J92" s="330">
        <f>SUM(E92:I92)</f>
        <v>0</v>
      </c>
      <c r="L92" s="327"/>
      <c r="M92" s="325"/>
      <c r="N92" s="326"/>
      <c r="O92" s="327"/>
      <c r="P92" s="325"/>
      <c r="Q92" s="326"/>
      <c r="R92" s="327"/>
      <c r="S92" s="325"/>
      <c r="T92" s="325"/>
      <c r="V92" s="325"/>
      <c r="W92" s="325"/>
    </row>
    <row r="93" spans="4:23" ht="18" hidden="1" customHeight="1">
      <c r="H93" s="327"/>
      <c r="K93" s="327"/>
      <c r="L93" s="325"/>
      <c r="S93" s="325"/>
      <c r="T93" s="325"/>
      <c r="V93" s="325"/>
      <c r="W93" s="325"/>
    </row>
    <row r="94" spans="4:23" ht="18" hidden="1" customHeight="1">
      <c r="D94" s="329" t="str">
        <f>D70</f>
        <v>Otras inversiones intangibles</v>
      </c>
      <c r="E94" s="961" t="s">
        <v>183</v>
      </c>
      <c r="F94" s="962"/>
      <c r="G94" s="962"/>
      <c r="H94" s="962"/>
      <c r="I94" s="963"/>
      <c r="J94" s="330" t="s">
        <v>184</v>
      </c>
      <c r="L94" s="327"/>
      <c r="M94" s="325"/>
      <c r="N94" s="326"/>
      <c r="O94" s="327"/>
      <c r="P94" s="325"/>
      <c r="Q94" s="326"/>
      <c r="R94" s="327"/>
      <c r="S94" s="325"/>
      <c r="T94" s="325"/>
      <c r="V94" s="325"/>
      <c r="W94" s="325"/>
    </row>
    <row r="95" spans="4:23" ht="18" hidden="1" customHeight="1">
      <c r="D95" s="329" t="s">
        <v>178</v>
      </c>
      <c r="E95" s="334">
        <f>$E$57*$E$70+$F$57*$E$70+$G$57*$G$70</f>
        <v>0</v>
      </c>
      <c r="F95" s="334"/>
      <c r="G95" s="334"/>
      <c r="H95" s="334"/>
      <c r="I95" s="334"/>
      <c r="J95" s="330">
        <f>SUM(E95:I95)</f>
        <v>0</v>
      </c>
      <c r="L95" s="327"/>
      <c r="M95" s="325"/>
      <c r="N95" s="326"/>
      <c r="O95" s="327"/>
      <c r="P95" s="325"/>
      <c r="Q95" s="326"/>
      <c r="R95" s="327"/>
      <c r="S95" s="325"/>
      <c r="T95" s="325"/>
      <c r="V95" s="325"/>
      <c r="W95" s="325"/>
    </row>
    <row r="96" spans="4:23" ht="18" hidden="1" customHeight="1">
      <c r="D96" s="329" t="s">
        <v>179</v>
      </c>
      <c r="E96" s="334">
        <f>IF(1-$E$70&gt;=$E$70,$E$70*$E$57,(1-$E$70)*$E$57)+IF(1-$F$70&gt;=$F$70,$F$70*$F$57,(1-$F$70)*$F$57)+IF(1-$G$70&gt;=$G$70,$G$70*$G$57,(1-$G$70)*$G$57)</f>
        <v>0</v>
      </c>
      <c r="F96" s="334">
        <f>$H$57*$H$70</f>
        <v>0</v>
      </c>
      <c r="G96" s="334"/>
      <c r="H96" s="334"/>
      <c r="I96" s="334"/>
      <c r="J96" s="330">
        <f>SUM(E96:I96)</f>
        <v>0</v>
      </c>
      <c r="L96" s="327"/>
      <c r="M96" s="325"/>
      <c r="N96" s="326"/>
      <c r="O96" s="327"/>
      <c r="P96" s="325"/>
      <c r="Q96" s="326"/>
      <c r="R96" s="327"/>
      <c r="S96" s="325"/>
      <c r="T96" s="325"/>
      <c r="V96" s="325"/>
      <c r="W96" s="325"/>
    </row>
    <row r="97" spans="4:23" ht="18" hidden="1" customHeight="1">
      <c r="D97" s="329" t="s">
        <v>180</v>
      </c>
      <c r="E97" s="334">
        <f>IF(1-2*$E$70&gt;=$E$70,$E$70*$E$57,IF((1-2*$E$70)&lt;=0,0,(1-2*$E$70)*$E$57))+IF(1-2*$F$70&gt;=$F$70,$F$70*$F$57,IF((1-2*$F$70)&lt;=0,0,(1-2*$F$70)*$F$57))+IF(1-2*$G$70&gt;=$G$70,$G$70*$G$57,IF((1-2*$G$70)&lt;=0,0,(1-2*$G$70)*$G$57))</f>
        <v>0</v>
      </c>
      <c r="F97" s="334">
        <f>IF(1-$H$70&gt;=$H$70,$H$70*$H$57,(1-$H$70)*$H$57)</f>
        <v>0</v>
      </c>
      <c r="G97" s="334">
        <f>$I$57*$I$70</f>
        <v>0</v>
      </c>
      <c r="H97" s="334"/>
      <c r="I97" s="334"/>
      <c r="J97" s="330">
        <f>SUM(E97:I97)</f>
        <v>0</v>
      </c>
      <c r="L97" s="327"/>
      <c r="M97" s="325"/>
      <c r="N97" s="326"/>
      <c r="O97" s="327"/>
      <c r="P97" s="325"/>
      <c r="Q97" s="326"/>
      <c r="R97" s="327"/>
      <c r="S97" s="325"/>
      <c r="T97" s="325"/>
      <c r="V97" s="325"/>
      <c r="W97" s="325"/>
    </row>
    <row r="98" spans="4:23" ht="18" hidden="1" customHeight="1">
      <c r="D98" s="329" t="s">
        <v>181</v>
      </c>
      <c r="E98" s="334">
        <f>IF(1-3*$E$70&gt;=$E$70,$E$70*$E$57,IF((1-3*$E$70)&lt;=0,0,(1-3*$E$70)*$E$57))+IF(1-3*$F$70&gt;=$F$70,$F$70*$F$57,IF((1-3*$F$70)&lt;=0,0,(1-3*$F$70)*$F$57))+IF(1-3*$G$70&gt;=$G$70,$G$70*$G$57,IF((1-3*$G$70)&lt;=0,0,(1-3*$G$70)*$G$57))</f>
        <v>0</v>
      </c>
      <c r="F98" s="334">
        <f>IF(1-2*$H$70&gt;=$H$70,$H$70*$H$57,IF((1-2*$H$70)&lt;=0,0,(1-2*$H$70)*$H$57))</f>
        <v>0</v>
      </c>
      <c r="G98" s="334">
        <f>IF(1-$I$70&gt;=$I$70,$I$70*$I$57,(1-$I$70)*$I$57)</f>
        <v>0</v>
      </c>
      <c r="H98" s="334">
        <f>$J$57*$J$70</f>
        <v>0</v>
      </c>
      <c r="I98" s="334"/>
      <c r="J98" s="330">
        <f>SUM(E98:I98)</f>
        <v>0</v>
      </c>
      <c r="L98" s="327"/>
      <c r="M98" s="325"/>
      <c r="N98" s="326"/>
      <c r="O98" s="327"/>
      <c r="P98" s="325"/>
      <c r="Q98" s="326"/>
      <c r="R98" s="327"/>
      <c r="S98" s="325"/>
      <c r="T98" s="325"/>
      <c r="V98" s="325"/>
      <c r="W98" s="325"/>
    </row>
    <row r="99" spans="4:23" ht="18" hidden="1" customHeight="1">
      <c r="D99" s="329" t="s">
        <v>182</v>
      </c>
      <c r="E99" s="334">
        <f>IF(1-4*$E$70&gt;=$E$70,$E$70*$E$57,IF((1-4*$E$70)&lt;=0,0,(1-4*$E$70)*$E$57))+IF(1-4*$F$70&gt;=$F$70,$F$70*$F$57,IF((1-4*$F$70)&lt;=0,0,(1-4*$F$70)*$F$57))+IF(1-4*$G$70&gt;=$G$70,$G$70*$G$57,IF((1-4*$G$70)&lt;=0,0,(1-4*$G$70)*$G$57))</f>
        <v>0</v>
      </c>
      <c r="F99" s="334">
        <f>IF(1-3*$H70&gt;=$H$70,$H$70*$H$57,IF((1-3*$H$70)&lt;=0,0,(1-3*$H$70)*$H$57))</f>
        <v>0</v>
      </c>
      <c r="G99" s="334">
        <f>IF(1-2*$I$70&gt;=$I$70,$I$70*$I$57,IF((1-2*$I$70)&lt;=0,0,(1-2*$I$70)*$I$57))</f>
        <v>0</v>
      </c>
      <c r="H99" s="334">
        <f>IF(1-$J$70&gt;=$J$70,$J$70*$J$57,(1-$J$70)*$J$57)</f>
        <v>0</v>
      </c>
      <c r="I99" s="334">
        <f>$K$57*$K$70</f>
        <v>0</v>
      </c>
      <c r="J99" s="330">
        <f>SUM(E99:I99)</f>
        <v>0</v>
      </c>
      <c r="L99" s="327"/>
      <c r="M99" s="325"/>
      <c r="N99" s="326"/>
      <c r="O99" s="327"/>
      <c r="P99" s="325"/>
      <c r="Q99" s="326"/>
      <c r="R99" s="327"/>
      <c r="S99" s="325"/>
      <c r="T99" s="325"/>
      <c r="V99" s="325"/>
      <c r="W99" s="325"/>
    </row>
    <row r="100" spans="4:23" ht="18" hidden="1" customHeight="1">
      <c r="H100" s="327"/>
      <c r="K100" s="327"/>
      <c r="L100" s="325"/>
      <c r="S100" s="325"/>
      <c r="T100" s="325"/>
      <c r="V100" s="325"/>
      <c r="W100" s="325"/>
    </row>
    <row r="101" spans="4:23" ht="18" hidden="1" customHeight="1">
      <c r="D101" s="329" t="str">
        <f>D71</f>
        <v>Edificaciones</v>
      </c>
      <c r="E101" s="961" t="s">
        <v>183</v>
      </c>
      <c r="F101" s="962"/>
      <c r="G101" s="962"/>
      <c r="H101" s="962"/>
      <c r="I101" s="963"/>
      <c r="J101" s="330" t="s">
        <v>184</v>
      </c>
      <c r="L101" s="327"/>
      <c r="M101" s="325"/>
      <c r="N101" s="326"/>
      <c r="O101" s="327"/>
      <c r="P101" s="325"/>
      <c r="Q101" s="326"/>
      <c r="R101" s="327"/>
      <c r="S101" s="325"/>
      <c r="T101" s="325"/>
      <c r="V101" s="325"/>
      <c r="W101" s="325"/>
    </row>
    <row r="102" spans="4:23" ht="18" hidden="1" customHeight="1">
      <c r="D102" s="329" t="s">
        <v>178</v>
      </c>
      <c r="E102" s="334">
        <f>$E$58*$E$71+$F$58*$E$71+$G$58*$G$71</f>
        <v>0</v>
      </c>
      <c r="F102" s="334"/>
      <c r="G102" s="334"/>
      <c r="H102" s="334"/>
      <c r="I102" s="334"/>
      <c r="J102" s="330">
        <f>SUM(E102:I102)</f>
        <v>0</v>
      </c>
      <c r="L102" s="327"/>
      <c r="M102" s="325"/>
      <c r="N102" s="326"/>
      <c r="O102" s="327"/>
      <c r="P102" s="325"/>
      <c r="Q102" s="326"/>
      <c r="R102" s="327"/>
      <c r="S102" s="325"/>
      <c r="T102" s="325"/>
      <c r="V102" s="325"/>
      <c r="W102" s="325"/>
    </row>
    <row r="103" spans="4:23" ht="18" hidden="1" customHeight="1">
      <c r="D103" s="329" t="s">
        <v>179</v>
      </c>
      <c r="E103" s="334">
        <f>IF(1-$E$71&gt;=$E$71,$E$71*$E$58,(1-$E$71)*$E$58)+IF(1-$F$71&gt;=$F$71,$F$71*$F$58,(1-$F$71)*$F$58)+IF(1-$G$71&gt;=$G$71,$G$71*$G$58,(1-$G$71)*$G$58)</f>
        <v>0</v>
      </c>
      <c r="F103" s="334">
        <f>$H$58*$H$71</f>
        <v>0</v>
      </c>
      <c r="G103" s="334"/>
      <c r="H103" s="334"/>
      <c r="I103" s="334"/>
      <c r="J103" s="330">
        <f>SUM(E103:I103)</f>
        <v>0</v>
      </c>
      <c r="L103" s="327"/>
      <c r="M103" s="325"/>
      <c r="N103" s="326"/>
      <c r="O103" s="327"/>
      <c r="P103" s="325"/>
      <c r="Q103" s="326"/>
      <c r="R103" s="327"/>
      <c r="S103" s="325"/>
      <c r="T103" s="325"/>
      <c r="V103" s="325"/>
      <c r="W103" s="325"/>
    </row>
    <row r="104" spans="4:23" ht="18" hidden="1" customHeight="1">
      <c r="D104" s="329" t="s">
        <v>180</v>
      </c>
      <c r="E104" s="334">
        <f>IF(1-2*$E$71&gt;=$E$71,$E$71*$E$58,IF((1-2*$E$71)&lt;=0,0,(1-2*$E$71)*$E$58))+IF(1-2*$F$71&gt;=$F$71,$F$71*$F$58,IF((1-2*$F$71)&lt;=0,0,(1-2*$F$71)*$F$58))+IF(1-2*$G$71&gt;=$G$71,$G$71*$G$58,IF((1-2*$G$71)&lt;=0,0,(1-2*$G$71)*$G$58))</f>
        <v>0</v>
      </c>
      <c r="F104" s="334">
        <f>IF(1-$H$71&gt;=$H$71,$H$71*$H$58,(1-$H$71)*$H$58)</f>
        <v>0</v>
      </c>
      <c r="G104" s="334">
        <f>$I$58*$I$71</f>
        <v>0</v>
      </c>
      <c r="H104" s="334"/>
      <c r="I104" s="334"/>
      <c r="J104" s="330">
        <f>SUM(E104:I104)</f>
        <v>0</v>
      </c>
      <c r="L104" s="327"/>
      <c r="M104" s="325"/>
      <c r="N104" s="326"/>
      <c r="O104" s="327"/>
      <c r="P104" s="325"/>
      <c r="Q104" s="326"/>
      <c r="R104" s="327"/>
      <c r="S104" s="325"/>
      <c r="T104" s="325"/>
      <c r="V104" s="325"/>
      <c r="W104" s="325"/>
    </row>
    <row r="105" spans="4:23" ht="18" hidden="1" customHeight="1">
      <c r="D105" s="329" t="s">
        <v>181</v>
      </c>
      <c r="E105" s="334">
        <f>IF(1-3*$E$71&gt;=$E$71,$E$71*$E$58,IF((1-3*$E$71)&lt;=0,0,(1-3*$E$71)*$E$58))+IF(1-3*$F$71&gt;=$F$71,$F$71*$F$58,IF((1-3*$F$71)&lt;=0,0,(1-3*$F$71)*$F$58))+IF(1-3*$G$71&gt;=$G$71,$G$71*$G$58,IF((1-3*$G$71)&lt;=0,0,(1-3*$G$71)*$G$58))</f>
        <v>0</v>
      </c>
      <c r="F105" s="334">
        <f>IF(1-2*$H$71&gt;=$H$71,$H$71*$H$58,IF((1-2*$H$71)&lt;=0,0,(1-2*$H$71)*$H$58))</f>
        <v>0</v>
      </c>
      <c r="G105" s="334">
        <f>IF(1-$I$71&gt;=$I$71,$I$71*$I$58,(1-$I$71)*$I$58)</f>
        <v>0</v>
      </c>
      <c r="H105" s="334">
        <f>$J$58*$J$71</f>
        <v>0</v>
      </c>
      <c r="I105" s="334"/>
      <c r="J105" s="330">
        <f>SUM(E105:I105)</f>
        <v>0</v>
      </c>
      <c r="L105" s="327"/>
      <c r="M105" s="325"/>
      <c r="N105" s="326"/>
      <c r="O105" s="327"/>
      <c r="P105" s="325"/>
      <c r="Q105" s="326"/>
      <c r="R105" s="327"/>
      <c r="S105" s="325"/>
      <c r="T105" s="325"/>
      <c r="V105" s="325"/>
      <c r="W105" s="325"/>
    </row>
    <row r="106" spans="4:23" ht="18" hidden="1" customHeight="1">
      <c r="D106" s="329" t="s">
        <v>182</v>
      </c>
      <c r="E106" s="334">
        <f>IF(1-4*$E$71&gt;=$E$71,$E$71*$E$58,IF((1-4*$E$71)&lt;=0,0,(1-4*$E$71)*$E$58))+IF(1-4*$F$71&gt;=$F$71,$F$71*$F$58,IF((1-4*$F$71)&lt;=0,0,(1-4*$F$71)*$F$58))+IF(1-4*$G$71&gt;=$G$71,$G$71*$G$58,IF((1-4*$G$71)&lt;=0,0,(1-4*$G$71)*$G$58))</f>
        <v>0</v>
      </c>
      <c r="F106" s="334">
        <f>IF(1-3*$H71&gt;=$H$71,$H$71*$H$58,IF((1-3*$H$71)&lt;=0,0,(1-3*$H$71)*$H$58))</f>
        <v>0</v>
      </c>
      <c r="G106" s="334">
        <f>IF(1-2*$I$71&gt;=$I$71,$I$71*$I$58,IF((1-2*$I$71)&lt;=0,0,(1-2*$I$71)*$I$58))</f>
        <v>0</v>
      </c>
      <c r="H106" s="334">
        <f>IF(1-$J$71&gt;=$J$71,$J$71*$J$58,(1-$J$71)*$J$58)</f>
        <v>0</v>
      </c>
      <c r="I106" s="334">
        <f>$K$58*$K$71</f>
        <v>0</v>
      </c>
      <c r="J106" s="330">
        <f>SUM(E106:I106)</f>
        <v>0</v>
      </c>
      <c r="L106" s="327"/>
      <c r="M106" s="325"/>
      <c r="N106" s="326"/>
      <c r="O106" s="327"/>
      <c r="P106" s="325"/>
      <c r="Q106" s="326"/>
      <c r="R106" s="327"/>
      <c r="S106" s="325"/>
      <c r="T106" s="325"/>
      <c r="V106" s="325"/>
      <c r="W106" s="325"/>
    </row>
    <row r="107" spans="4:23" ht="18" hidden="1" customHeight="1">
      <c r="I107" s="327"/>
      <c r="L107" s="327"/>
      <c r="M107" s="325"/>
      <c r="N107" s="326"/>
      <c r="O107" s="327"/>
      <c r="P107" s="325"/>
      <c r="Q107" s="326"/>
      <c r="R107" s="327"/>
      <c r="S107" s="325"/>
      <c r="T107" s="325"/>
      <c r="V107" s="325"/>
      <c r="W107" s="325"/>
    </row>
    <row r="108" spans="4:23" ht="18" hidden="1" customHeight="1">
      <c r="D108" s="329" t="str">
        <f>D72</f>
        <v>Instalaciones</v>
      </c>
      <c r="E108" s="961" t="s">
        <v>183</v>
      </c>
      <c r="F108" s="962"/>
      <c r="G108" s="962"/>
      <c r="H108" s="962"/>
      <c r="I108" s="963"/>
      <c r="J108" s="330" t="s">
        <v>184</v>
      </c>
      <c r="L108" s="327"/>
      <c r="M108" s="325"/>
      <c r="N108" s="326"/>
      <c r="O108" s="327"/>
      <c r="P108" s="325"/>
      <c r="Q108" s="326"/>
      <c r="R108" s="327"/>
      <c r="S108" s="325"/>
      <c r="T108" s="325"/>
      <c r="V108" s="325"/>
      <c r="W108" s="325"/>
    </row>
    <row r="109" spans="4:23" ht="18" hidden="1" customHeight="1">
      <c r="D109" s="329" t="s">
        <v>178</v>
      </c>
      <c r="E109" s="334">
        <f>$E$59*$E$72+$F$59*$E$72+$G$59*$G$72</f>
        <v>0</v>
      </c>
      <c r="F109" s="334"/>
      <c r="G109" s="334"/>
      <c r="H109" s="334"/>
      <c r="I109" s="334"/>
      <c r="J109" s="330">
        <f>SUM(E109:I109)</f>
        <v>0</v>
      </c>
      <c r="L109" s="327"/>
      <c r="M109" s="325"/>
      <c r="N109" s="326"/>
      <c r="O109" s="327"/>
      <c r="P109" s="325"/>
      <c r="Q109" s="326"/>
      <c r="R109" s="327"/>
      <c r="S109" s="325"/>
      <c r="T109" s="325"/>
      <c r="V109" s="325"/>
      <c r="W109" s="325"/>
    </row>
    <row r="110" spans="4:23" ht="18" hidden="1" customHeight="1">
      <c r="D110" s="329" t="s">
        <v>179</v>
      </c>
      <c r="E110" s="334">
        <f>IF(1-$E$72&gt;=$E$72,$E$72*$E$59,(1-$E$72)*$E$59)+IF(1-$F$72&gt;=$F$72,$F$72*$F$59,(1-$F$72)*$F$59)+IF(1-$G$72&gt;=$G$72,$G$72*$G$59,(1-$G$72)*$G$59)</f>
        <v>0</v>
      </c>
      <c r="F110" s="334">
        <f>$H$59*$H$72</f>
        <v>0</v>
      </c>
      <c r="G110" s="334"/>
      <c r="H110" s="334"/>
      <c r="I110" s="334"/>
      <c r="J110" s="330">
        <f>SUM(E110:I110)</f>
        <v>0</v>
      </c>
      <c r="L110" s="327"/>
      <c r="M110" s="325"/>
      <c r="N110" s="326"/>
      <c r="O110" s="327"/>
      <c r="P110" s="325"/>
      <c r="Q110" s="326"/>
      <c r="R110" s="327"/>
      <c r="S110" s="325"/>
      <c r="T110" s="325"/>
      <c r="V110" s="325"/>
      <c r="W110" s="325"/>
    </row>
    <row r="111" spans="4:23" ht="18" hidden="1" customHeight="1">
      <c r="D111" s="329" t="s">
        <v>180</v>
      </c>
      <c r="E111" s="334">
        <f>IF(1-2*$E$72&gt;=$E$72,$E$72*$E$59,IF((1-2*$E$72)&lt;=0,0,(1-2*$E$72)*$E$59))+IF(1-2*$F$72&gt;=$F$72,$F$72*$F$59,IF((1-2*$F$72)&lt;=0,0,(1-2*$F$72)*$F$59))+IF(1-2*$G$72&gt;=$G$72,$G$72*$G$59,IF((1-2*$G$72)&lt;=0,0,(1-2*$G$72)*$G$59))</f>
        <v>0</v>
      </c>
      <c r="F111" s="334">
        <f>IF(1-$H$72&gt;=$H$72,$H$72*$H$59,(1-$H$72)*$H$59)</f>
        <v>0</v>
      </c>
      <c r="G111" s="334">
        <f>$I$59*$I$72</f>
        <v>0</v>
      </c>
      <c r="H111" s="334"/>
      <c r="I111" s="334"/>
      <c r="J111" s="330">
        <f>SUM(E111:I111)</f>
        <v>0</v>
      </c>
      <c r="L111" s="327"/>
      <c r="M111" s="325"/>
      <c r="N111" s="326"/>
      <c r="O111" s="327"/>
      <c r="P111" s="325"/>
      <c r="Q111" s="326"/>
      <c r="R111" s="327"/>
      <c r="S111" s="325"/>
      <c r="T111" s="325"/>
      <c r="V111" s="325"/>
      <c r="W111" s="325"/>
    </row>
    <row r="112" spans="4:23" ht="18" hidden="1" customHeight="1">
      <c r="D112" s="329" t="s">
        <v>181</v>
      </c>
      <c r="E112" s="334">
        <f>IF(1-3*$E$72&gt;=$E$72,$E$72*$E$59,IF((1-3*$E$72)&lt;=0,0,(1-3*$E$72)*$E$59))+IF(1-3*$F$72&gt;=$F$72,$F$72*$F$59,IF((1-3*$F$72)&lt;=0,0,(1-3*$F$72)*$F$59))+IF(1-3*$G$72&gt;=$G$72,$G$72*$G$59,IF((1-3*$G$72)&lt;=0,0,(1-3*$G$72)*$G$59))</f>
        <v>0</v>
      </c>
      <c r="F112" s="334">
        <f>IF(1-2*$H$72&gt;=$H$72,$H$72*$H$59,IF((1-2*$H$72)&lt;=0,0,(1-2*$H$72)*$H$59))</f>
        <v>0</v>
      </c>
      <c r="G112" s="334">
        <f>IF(1-$I$72&gt;=$I$72,$I$72*$I$59,(1-$I$72)*$I$59)</f>
        <v>0</v>
      </c>
      <c r="H112" s="334">
        <f>$J$59*$J$72</f>
        <v>0</v>
      </c>
      <c r="I112" s="334"/>
      <c r="J112" s="330">
        <f>SUM(E112:I112)</f>
        <v>0</v>
      </c>
      <c r="L112" s="327"/>
      <c r="M112" s="325"/>
      <c r="N112" s="326"/>
      <c r="O112" s="327"/>
      <c r="P112" s="325"/>
      <c r="Q112" s="326"/>
      <c r="R112" s="327"/>
      <c r="S112" s="325"/>
      <c r="T112" s="325"/>
      <c r="V112" s="325"/>
      <c r="W112" s="325"/>
    </row>
    <row r="113" spans="4:23" ht="18" hidden="1" customHeight="1">
      <c r="D113" s="329" t="s">
        <v>182</v>
      </c>
      <c r="E113" s="334">
        <f>IF(1-4*$E$72&gt;=$E$72,$E$72*$E$59,IF((1-4*$E$72)&lt;=0,0,(1-4*$E$72)*$E$59))+IF(1-4*$F$72&gt;=$F$72,$F$72*$F$59,IF((1-4*$F$72)&lt;=0,0,(1-4*$F$72)*$F$59))+IF(1-4*$G$72&gt;=$G$72,$G$72*$G$59,IF((1-4*$G$72)&lt;=0,0,(1-4*$G$72)*$G$59))</f>
        <v>0</v>
      </c>
      <c r="F113" s="334">
        <f>IF(1-3*$H72&gt;=$H$72,$H$72*$H$59,IF((1-3*$H$72)&lt;=0,0,(1-3*$H$72)*$H$59))</f>
        <v>0</v>
      </c>
      <c r="G113" s="334">
        <f>IF(1-2*$I$72&gt;=$I$72,$I$72*$I$59,IF((1-2*$I$72)&lt;=0,0,(1-2*$I$72)*$I$59))</f>
        <v>0</v>
      </c>
      <c r="H113" s="334">
        <f>IF(1-$J$72&gt;=$J$72,$J$72*$J$59,(1-$J$72)*$J$59)</f>
        <v>0</v>
      </c>
      <c r="I113" s="334">
        <f>$K$59*$K$72</f>
        <v>0</v>
      </c>
      <c r="J113" s="330">
        <f>SUM(E113:I113)</f>
        <v>0</v>
      </c>
      <c r="L113" s="327"/>
      <c r="M113" s="325"/>
      <c r="N113" s="326"/>
      <c r="O113" s="327"/>
      <c r="P113" s="325"/>
      <c r="Q113" s="326"/>
      <c r="R113" s="327"/>
      <c r="S113" s="325"/>
      <c r="T113" s="325"/>
      <c r="V113" s="325"/>
      <c r="W113" s="325"/>
    </row>
    <row r="114" spans="4:23" ht="18" hidden="1" customHeight="1">
      <c r="I114" s="327"/>
      <c r="L114" s="327"/>
      <c r="M114" s="325"/>
      <c r="N114" s="326"/>
      <c r="O114" s="327"/>
      <c r="P114" s="325"/>
      <c r="Q114" s="326"/>
      <c r="R114" s="327"/>
      <c r="S114" s="325"/>
      <c r="T114" s="325"/>
      <c r="V114" s="325"/>
      <c r="W114" s="325"/>
    </row>
    <row r="115" spans="4:23" ht="18" hidden="1" customHeight="1">
      <c r="D115" s="329" t="str">
        <f>D73</f>
        <v>Maquinaria</v>
      </c>
      <c r="E115" s="961" t="s">
        <v>183</v>
      </c>
      <c r="F115" s="962"/>
      <c r="G115" s="962"/>
      <c r="H115" s="962"/>
      <c r="I115" s="963"/>
      <c r="J115" s="330" t="s">
        <v>184</v>
      </c>
      <c r="L115" s="327"/>
      <c r="M115" s="325"/>
      <c r="N115" s="326"/>
      <c r="O115" s="327"/>
      <c r="P115" s="325"/>
      <c r="Q115" s="326"/>
      <c r="R115" s="327"/>
      <c r="S115" s="325"/>
      <c r="T115" s="325"/>
      <c r="V115" s="325"/>
      <c r="W115" s="325"/>
    </row>
    <row r="116" spans="4:23" ht="18" hidden="1" customHeight="1">
      <c r="D116" s="329" t="s">
        <v>178</v>
      </c>
      <c r="E116" s="334">
        <f>$E$60*$E$73+$F$60*$E$73+$G$60*$G$73</f>
        <v>0</v>
      </c>
      <c r="F116" s="334"/>
      <c r="G116" s="334"/>
      <c r="H116" s="334"/>
      <c r="I116" s="334"/>
      <c r="J116" s="330">
        <f>SUM(E116:I116)</f>
        <v>0</v>
      </c>
      <c r="L116" s="327"/>
      <c r="M116" s="325"/>
      <c r="N116" s="326"/>
      <c r="O116" s="327"/>
      <c r="P116" s="325"/>
      <c r="Q116" s="326"/>
      <c r="R116" s="327"/>
      <c r="S116" s="325"/>
      <c r="T116" s="325"/>
      <c r="V116" s="325"/>
      <c r="W116" s="325"/>
    </row>
    <row r="117" spans="4:23" ht="18" hidden="1" customHeight="1">
      <c r="D117" s="329" t="s">
        <v>179</v>
      </c>
      <c r="E117" s="334">
        <f>IF(1-$E$73&gt;=$E$73,$E$73*$E$60,(1-$E$73)*$E$60)+IF(1-$F$73&gt;=$F$73,$F$73*$F$60,(1-$F$73)*$F$60)+IF(1-$G$73&gt;=$G$73,$G$73*$G$60,(1-$G$73)*$G$60)</f>
        <v>0</v>
      </c>
      <c r="F117" s="334">
        <f>$H$60*$H$73</f>
        <v>0</v>
      </c>
      <c r="G117" s="334"/>
      <c r="H117" s="334"/>
      <c r="I117" s="334"/>
      <c r="J117" s="330">
        <f>SUM(E117:I117)</f>
        <v>0</v>
      </c>
      <c r="L117" s="327"/>
      <c r="M117" s="325"/>
      <c r="N117" s="326"/>
      <c r="O117" s="327"/>
      <c r="P117" s="325"/>
      <c r="Q117" s="326"/>
      <c r="R117" s="327"/>
      <c r="S117" s="325"/>
      <c r="T117" s="325"/>
      <c r="V117" s="325"/>
      <c r="W117" s="325"/>
    </row>
    <row r="118" spans="4:23" ht="18" hidden="1" customHeight="1">
      <c r="D118" s="329" t="s">
        <v>180</v>
      </c>
      <c r="E118" s="334">
        <f>IF(1-2*$E$73&gt;=$E$73,$E$73*$E$60,IF((1-2*$E$73)&lt;=0,0,(1-2*$E$73)*$E$60))+IF(1-2*$F$73&gt;=$F$73,$F$73*$F$60,IF((1-2*$F$73)&lt;=0,0,(1-2*$F$73)*$F$60))+IF(1-2*$G$73&gt;=$G$73,$G$73*$G$60,IF((1-2*$G$73)&lt;=0,0,(1-2*$G$73)*$G$60))</f>
        <v>0</v>
      </c>
      <c r="F118" s="334">
        <f>IF(1-$H$73&gt;=$H$73,$H$73*$H$60,(1-$H$73)*$H$60)</f>
        <v>0</v>
      </c>
      <c r="G118" s="334">
        <f>$I$60*$I$73</f>
        <v>0</v>
      </c>
      <c r="H118" s="334"/>
      <c r="I118" s="334"/>
      <c r="J118" s="330">
        <f>SUM(E118:I118)</f>
        <v>0</v>
      </c>
      <c r="L118" s="327"/>
      <c r="M118" s="325"/>
      <c r="N118" s="326"/>
      <c r="O118" s="327"/>
      <c r="P118" s="325"/>
      <c r="Q118" s="326"/>
      <c r="R118" s="327"/>
      <c r="S118" s="325"/>
      <c r="T118" s="325"/>
      <c r="V118" s="325"/>
      <c r="W118" s="325"/>
    </row>
    <row r="119" spans="4:23" ht="18" hidden="1" customHeight="1">
      <c r="D119" s="329" t="s">
        <v>181</v>
      </c>
      <c r="E119" s="334">
        <f>IF(1-3*$E$73&gt;=$E$73,$E$73*$E$60,IF((1-3*$E$73)&lt;=0,0,(1-3*$E$73)*$E$60))+IF(1-3*$F$73&gt;=$F$73,$F$73*$F$60,IF((1-3*$F$73)&lt;=0,0,(1-3*$F$73)*$F$60))+IF(1-3*$G$73&gt;=$G$73,$G$73*$G$60,IF((1-3*$G$73)&lt;=0,0,(1-3*$G$73)*$G$60))</f>
        <v>0</v>
      </c>
      <c r="F119" s="334">
        <f>IF(1-2*$H$73&gt;=$H$73,$H$73*$H$60,IF((1-2*$H$73)&lt;=0,0,(1-2*$H$73)*$H$60))</f>
        <v>0</v>
      </c>
      <c r="G119" s="334">
        <f>IF(1-$I$73&gt;=$I$73,$I$73*$I$60,(1-$I$73)*$I$60)</f>
        <v>0</v>
      </c>
      <c r="H119" s="334">
        <f>$J$60*$J$73</f>
        <v>0</v>
      </c>
      <c r="I119" s="334"/>
      <c r="J119" s="330">
        <f>SUM(E119:I119)</f>
        <v>0</v>
      </c>
      <c r="L119" s="327"/>
      <c r="M119" s="325"/>
      <c r="N119" s="326"/>
      <c r="O119" s="327"/>
      <c r="P119" s="325"/>
      <c r="Q119" s="326"/>
      <c r="R119" s="327"/>
      <c r="S119" s="325"/>
      <c r="T119" s="325"/>
      <c r="V119" s="325"/>
      <c r="W119" s="325"/>
    </row>
    <row r="120" spans="4:23" ht="18" hidden="1" customHeight="1">
      <c r="D120" s="329" t="s">
        <v>182</v>
      </c>
      <c r="E120" s="334">
        <f>IF(1-4*$E$73&gt;=$E$73,$E$73*$E$60,IF((1-4*$E$73)&lt;=0,0,(1-4*$E$73)*$E$60))+IF(1-4*$F$73&gt;=$F$73,$F$73*$F$60,IF((1-4*$F$73)&lt;=0,0,(1-4*$F$73)*$F$60))+IF(1-4*$G$73&gt;=$G$73,$G$73*$G$60,IF((1-4*$G$73)&lt;=0,0,(1-4*$G$73)*$G$60))</f>
        <v>0</v>
      </c>
      <c r="F120" s="334">
        <f>IF(1-3*$H73&gt;=$H$73,$H$73*$H$60,IF((1-3*$H$73)&lt;=0,0,(1-3*$H$73)*$H$60))</f>
        <v>0</v>
      </c>
      <c r="G120" s="334">
        <f>IF(1-2*$I$73&gt;=$I$73,$I$73*$I$60,IF((1-2*$I$73)&lt;=0,0,(1-2*$I$73)*$I$60))</f>
        <v>0</v>
      </c>
      <c r="H120" s="334">
        <f>IF(1-$J$73&gt;=$J$73,$J$73*$J$60,(1-$J$73)*$J$60)</f>
        <v>0</v>
      </c>
      <c r="I120" s="334">
        <f>$K$60*$K$73</f>
        <v>0</v>
      </c>
      <c r="J120" s="330">
        <f>SUM(E120:I120)</f>
        <v>0</v>
      </c>
      <c r="L120" s="327"/>
      <c r="M120" s="325"/>
      <c r="N120" s="326"/>
      <c r="O120" s="327"/>
      <c r="P120" s="325"/>
      <c r="Q120" s="326"/>
      <c r="R120" s="327"/>
      <c r="S120" s="325"/>
      <c r="T120" s="325"/>
      <c r="V120" s="325"/>
      <c r="W120" s="325"/>
    </row>
    <row r="121" spans="4:23" ht="18" hidden="1" customHeight="1">
      <c r="I121" s="327"/>
      <c r="L121" s="327"/>
      <c r="M121" s="325"/>
      <c r="N121" s="326"/>
      <c r="O121" s="327"/>
      <c r="P121" s="325"/>
      <c r="Q121" s="326"/>
      <c r="R121" s="327"/>
      <c r="S121" s="325"/>
      <c r="T121" s="325"/>
      <c r="V121" s="325"/>
      <c r="W121" s="325"/>
    </row>
    <row r="122" spans="4:23" ht="18" hidden="1" customHeight="1">
      <c r="D122" s="329" t="str">
        <f>D74</f>
        <v>Mobiliario de oficina</v>
      </c>
      <c r="E122" s="961" t="s">
        <v>183</v>
      </c>
      <c r="F122" s="962"/>
      <c r="G122" s="962"/>
      <c r="H122" s="962"/>
      <c r="I122" s="963"/>
      <c r="J122" s="330" t="s">
        <v>184</v>
      </c>
      <c r="L122" s="327"/>
      <c r="M122" s="325"/>
      <c r="N122" s="326"/>
      <c r="O122" s="327"/>
      <c r="P122" s="325"/>
      <c r="Q122" s="326"/>
      <c r="R122" s="327"/>
      <c r="S122" s="325"/>
      <c r="T122" s="325"/>
      <c r="V122" s="325"/>
      <c r="W122" s="325"/>
    </row>
    <row r="123" spans="4:23" ht="18" hidden="1" customHeight="1">
      <c r="D123" s="329" t="s">
        <v>178</v>
      </c>
      <c r="E123" s="334">
        <f>$E$61*$E$74+$F$61*$E$74+$G$61*$G$74</f>
        <v>0</v>
      </c>
      <c r="F123" s="334"/>
      <c r="G123" s="334"/>
      <c r="H123" s="334"/>
      <c r="I123" s="334"/>
      <c r="J123" s="330">
        <f>SUM(E123:I123)</f>
        <v>0</v>
      </c>
      <c r="L123" s="327"/>
      <c r="M123" s="325"/>
      <c r="N123" s="326"/>
      <c r="O123" s="327"/>
      <c r="P123" s="325"/>
      <c r="Q123" s="326"/>
      <c r="R123" s="327"/>
      <c r="S123" s="325"/>
      <c r="T123" s="325"/>
      <c r="V123" s="325"/>
      <c r="W123" s="325"/>
    </row>
    <row r="124" spans="4:23" ht="18" hidden="1" customHeight="1">
      <c r="D124" s="329" t="s">
        <v>179</v>
      </c>
      <c r="E124" s="334">
        <f>IF(1-$E$74&gt;=$E$74,$E$74*$E$61,(1-$E$74)*$E$61)+IF(1-$F$74&gt;=$F$74,$F$74*$F$61,(1-$F$74)*$F$61)+IF(1-$G$74&gt;=$G$74,$G$74*$G$61,(1-$G$74)*$G$61)</f>
        <v>0</v>
      </c>
      <c r="F124" s="334">
        <f>$H$61*$H$74</f>
        <v>0</v>
      </c>
      <c r="G124" s="334"/>
      <c r="H124" s="334"/>
      <c r="I124" s="334"/>
      <c r="J124" s="330">
        <f>SUM(E124:I124)</f>
        <v>0</v>
      </c>
      <c r="L124" s="327"/>
      <c r="M124" s="325"/>
      <c r="N124" s="326"/>
      <c r="O124" s="327"/>
      <c r="P124" s="325"/>
      <c r="Q124" s="326"/>
      <c r="R124" s="327"/>
      <c r="S124" s="325"/>
      <c r="T124" s="325"/>
      <c r="V124" s="325"/>
      <c r="W124" s="325"/>
    </row>
    <row r="125" spans="4:23" ht="18" hidden="1" customHeight="1">
      <c r="D125" s="329" t="s">
        <v>180</v>
      </c>
      <c r="E125" s="334">
        <f>IF(1-2*$E$74&gt;=$E$74,$E$74*$E$61,IF((1-2*$E$74)&lt;=0,0,(1-2*$E$74)*$E$61))+IF(1-2*$F$74&gt;=$F$74,$F$74*$F$61,IF((1-2*$F$74)&lt;=0,0,(1-2*$F$74)*$F$61))+IF(1-2*$G$74&gt;=$G$74,$G$74*$G$61,IF((1-2*$G$74)&lt;=0,0,(1-2*$G$74)*$G$61))</f>
        <v>0</v>
      </c>
      <c r="F125" s="334">
        <f>IF(1-$H$74&gt;=$H$74,$H$74*$H$61,(1-$H$74)*$H$61)</f>
        <v>0</v>
      </c>
      <c r="G125" s="334">
        <f>$I$61*$I$74</f>
        <v>0</v>
      </c>
      <c r="H125" s="334"/>
      <c r="I125" s="334"/>
      <c r="J125" s="330">
        <f>SUM(E125:I125)</f>
        <v>0</v>
      </c>
      <c r="L125" s="327"/>
      <c r="M125" s="325"/>
      <c r="N125" s="326"/>
      <c r="O125" s="327"/>
      <c r="P125" s="325"/>
      <c r="Q125" s="326"/>
      <c r="R125" s="327"/>
      <c r="S125" s="325"/>
      <c r="T125" s="325"/>
      <c r="V125" s="325"/>
      <c r="W125" s="325"/>
    </row>
    <row r="126" spans="4:23" ht="18" hidden="1" customHeight="1">
      <c r="D126" s="329" t="s">
        <v>181</v>
      </c>
      <c r="E126" s="334">
        <f>IF(1-3*$E$74&gt;=$E$74,$E$74*$E$61,IF((1-3*$E$74)&lt;=0,0,(1-3*$E$74)*$E$61))+IF(1-3*$F$74&gt;=$F$74,$F$74*$F$61,IF((1-3*$F$74)&lt;=0,0,(1-3*$F$74)*$F$61))+IF(1-3*$G$74&gt;=$G$74,$G$74*$G$61,IF((1-3*$G$74)&lt;=0,0,(1-3*$G$74)*$G$61))</f>
        <v>0</v>
      </c>
      <c r="F126" s="334">
        <f>IF(1-2*$H$74&gt;=$H$74,$H$74*$H$61,IF((1-2*$H$74)&lt;=0,0,(1-2*$H$74)*$H$61))</f>
        <v>0</v>
      </c>
      <c r="G126" s="334">
        <f>IF(1-$I$74&gt;=$I$74,$I$74*$I$61,(1-$I$74)*$I$61)</f>
        <v>0</v>
      </c>
      <c r="H126" s="334">
        <f>$J$61*$J$74</f>
        <v>0</v>
      </c>
      <c r="I126" s="334"/>
      <c r="J126" s="330">
        <f>SUM(E126:I126)</f>
        <v>0</v>
      </c>
      <c r="L126" s="327"/>
      <c r="M126" s="325"/>
      <c r="N126" s="326"/>
      <c r="O126" s="327"/>
      <c r="P126" s="325"/>
      <c r="Q126" s="326"/>
      <c r="R126" s="327"/>
      <c r="S126" s="325"/>
      <c r="T126" s="325"/>
      <c r="V126" s="325"/>
      <c r="W126" s="325"/>
    </row>
    <row r="127" spans="4:23" ht="18" hidden="1" customHeight="1">
      <c r="D127" s="329" t="s">
        <v>182</v>
      </c>
      <c r="E127" s="334">
        <f>IF(1-4*$E$74&gt;=$E$74,$E$74*$E$61,IF((1-4*$E$74)&lt;=0,0,(1-4*$E$74)*$E$61))+IF(1-4*$F$74&gt;=$F$74,$F$74*$F$61,IF((1-4*$F$74)&lt;=0,0,(1-4*$F$74)*$F$61))+IF(1-4*$G$74&gt;=$G$74,$G$74*$G$61,IF((1-4*$G$74)&lt;=0,0,(1-4*$G$74)*$G$61))</f>
        <v>0</v>
      </c>
      <c r="F127" s="334">
        <f>IF(1-3*$H$74&gt;=$H$74,$H$74*$H$61,IF((1-3*$H$74)&lt;=0,0,(1-3*$H$74)*$H$61))</f>
        <v>0</v>
      </c>
      <c r="G127" s="334">
        <f>IF(1-2*$I$74&gt;=$I$74,$I$74*$I$61,IF((1-2*$I$74)&lt;=0,0,(1-2*$I$74)*$I$61))</f>
        <v>0</v>
      </c>
      <c r="H127" s="334">
        <f>IF(1-$J$74&gt;=$J$74,$J$74*$J$61,(1-$J$74)*$J$61)</f>
        <v>0</v>
      </c>
      <c r="I127" s="334">
        <f>$K$61*$K$74</f>
        <v>0</v>
      </c>
      <c r="J127" s="330">
        <f>SUM(E127:I127)</f>
        <v>0</v>
      </c>
      <c r="L127" s="327"/>
      <c r="M127" s="325"/>
      <c r="N127" s="326"/>
      <c r="O127" s="327"/>
      <c r="P127" s="325"/>
      <c r="Q127" s="326"/>
      <c r="R127" s="327"/>
      <c r="S127" s="325"/>
      <c r="T127" s="325"/>
      <c r="V127" s="325"/>
      <c r="W127" s="325"/>
    </row>
    <row r="128" spans="4:23" ht="18" hidden="1" customHeight="1">
      <c r="I128" s="327"/>
      <c r="L128" s="327"/>
      <c r="M128" s="325"/>
      <c r="N128" s="326"/>
      <c r="O128" s="327"/>
      <c r="P128" s="325"/>
      <c r="Q128" s="326"/>
      <c r="R128" s="327"/>
      <c r="S128" s="325"/>
      <c r="T128" s="325"/>
      <c r="V128" s="325"/>
      <c r="W128" s="325"/>
    </row>
    <row r="129" spans="4:23" ht="18" hidden="1" customHeight="1">
      <c r="D129" s="329" t="str">
        <f>D75</f>
        <v>Vehículos de transporte</v>
      </c>
      <c r="E129" s="961" t="s">
        <v>183</v>
      </c>
      <c r="F129" s="962"/>
      <c r="G129" s="962"/>
      <c r="H129" s="962"/>
      <c r="I129" s="963"/>
      <c r="J129" s="330" t="s">
        <v>184</v>
      </c>
      <c r="L129" s="327"/>
      <c r="M129" s="325"/>
      <c r="N129" s="326"/>
      <c r="O129" s="327"/>
      <c r="P129" s="325"/>
      <c r="Q129" s="326"/>
      <c r="R129" s="327"/>
      <c r="S129" s="325"/>
      <c r="T129" s="325"/>
      <c r="V129" s="325"/>
      <c r="W129" s="325"/>
    </row>
    <row r="130" spans="4:23" ht="18" hidden="1" customHeight="1">
      <c r="D130" s="329" t="s">
        <v>178</v>
      </c>
      <c r="E130" s="334">
        <f>$E$62*$E$75+$F$62*$E$75+$G$62*$G$75</f>
        <v>0</v>
      </c>
      <c r="F130" s="334"/>
      <c r="G130" s="334"/>
      <c r="H130" s="334"/>
      <c r="I130" s="334"/>
      <c r="J130" s="330">
        <f>SUM(E130:I130)</f>
        <v>0</v>
      </c>
      <c r="L130" s="327"/>
      <c r="M130" s="325"/>
      <c r="N130" s="326"/>
      <c r="O130" s="327"/>
      <c r="P130" s="325"/>
      <c r="Q130" s="326"/>
      <c r="R130" s="327"/>
      <c r="S130" s="325"/>
      <c r="T130" s="325"/>
      <c r="V130" s="325"/>
      <c r="W130" s="325"/>
    </row>
    <row r="131" spans="4:23" ht="18" hidden="1" customHeight="1">
      <c r="D131" s="329" t="s">
        <v>179</v>
      </c>
      <c r="E131" s="334">
        <f>IF(1-$E$75&gt;=$E$75,$E$75*$E$62,(1-$E$75)*$E$62)+IF(1-$F$75&gt;=$F$75,$F$75*$F$62,(1-$F$75)*$F$62)+IF(1-$G$75&gt;=$G$75,$G$75*$G$62,(1-$G$75)*$G$62)</f>
        <v>0</v>
      </c>
      <c r="F131" s="334">
        <f>$H$62*$H$75</f>
        <v>0</v>
      </c>
      <c r="G131" s="334"/>
      <c r="H131" s="334"/>
      <c r="I131" s="334"/>
      <c r="J131" s="330">
        <f>SUM(E131:I131)</f>
        <v>0</v>
      </c>
      <c r="L131" s="327"/>
      <c r="M131" s="325"/>
      <c r="N131" s="326"/>
      <c r="O131" s="327"/>
      <c r="P131" s="325"/>
      <c r="Q131" s="326"/>
      <c r="R131" s="327"/>
      <c r="S131" s="325"/>
      <c r="T131" s="325"/>
      <c r="V131" s="325"/>
      <c r="W131" s="325"/>
    </row>
    <row r="132" spans="4:23" ht="18" hidden="1" customHeight="1">
      <c r="D132" s="329" t="s">
        <v>180</v>
      </c>
      <c r="E132" s="334">
        <f>IF(1-2*$E$75&gt;=$E$75,$E$75*$E$62,IF((1-2*$E$75)&lt;=0,0,(1-2*$E$75)*$E$62))+IF(1-2*$F$75&gt;=$F$75,$F$75*$F$62,IF((1-2*$F$75)&lt;=0,0,(1-2*$F$75)*$F$62))+IF(1-2*$G$75&gt;=$G$75,$G$75*$G$62,IF((1-2*$G$75)&lt;=0,0,(1-2*$G$75)*$G$62))</f>
        <v>0</v>
      </c>
      <c r="F132" s="334">
        <f>IF(1-$H$75&gt;=$H$75,$H$75*$H$62,(1-$H$75)*$H$62)</f>
        <v>0</v>
      </c>
      <c r="G132" s="334">
        <f>$I$62*$I$75</f>
        <v>0</v>
      </c>
      <c r="H132" s="334"/>
      <c r="I132" s="334"/>
      <c r="J132" s="330">
        <f>SUM(E132:I132)</f>
        <v>0</v>
      </c>
      <c r="L132" s="327"/>
      <c r="M132" s="325"/>
      <c r="N132" s="326"/>
      <c r="O132" s="327"/>
      <c r="P132" s="325"/>
      <c r="Q132" s="326"/>
      <c r="R132" s="327"/>
      <c r="S132" s="325"/>
      <c r="T132" s="325"/>
      <c r="V132" s="325"/>
      <c r="W132" s="325"/>
    </row>
    <row r="133" spans="4:23" ht="18" hidden="1" customHeight="1">
      <c r="D133" s="329" t="s">
        <v>181</v>
      </c>
      <c r="E133" s="334">
        <f>IF(1-3*$E$75&gt;=$E$75,$E$75*$E$62,IF((1-3*$E$75)&lt;=0,0,(1-3*$E$75)*$E$62))+IF(1-3*$F$75&gt;=$F$75,$F$75*$F$62,IF((1-3*$F$75)&lt;=0,0,(1-3*$F$75)*$F$62))+IF(1-3*$G$75&gt;=$G$75,$G$75*$G$62,IF((1-3*$G$75)&lt;=0,0,(1-3*$G$75)*$G$62))</f>
        <v>0</v>
      </c>
      <c r="F133" s="334">
        <f>IF(1-2*$H$75&gt;=$H$75,$H$75*$H$62,IF((1-2*$H$75)&lt;=0,0,(1-2*$H$75)*$H$62))</f>
        <v>0</v>
      </c>
      <c r="G133" s="334">
        <f>IF(1-$I$75&gt;=$I$75,$I$75*$I$62,(1-$I$75)*$I$62)</f>
        <v>0</v>
      </c>
      <c r="H133" s="334">
        <f>$J$62*$J$75</f>
        <v>0</v>
      </c>
      <c r="I133" s="334"/>
      <c r="J133" s="330">
        <f>SUM(E133:I133)</f>
        <v>0</v>
      </c>
      <c r="L133" s="327"/>
      <c r="M133" s="325"/>
      <c r="N133" s="326"/>
      <c r="O133" s="327"/>
      <c r="P133" s="325"/>
      <c r="Q133" s="326"/>
      <c r="R133" s="327"/>
      <c r="S133" s="325"/>
      <c r="T133" s="325"/>
      <c r="V133" s="325"/>
      <c r="W133" s="325"/>
    </row>
    <row r="134" spans="4:23" ht="18" hidden="1" customHeight="1">
      <c r="D134" s="329" t="s">
        <v>182</v>
      </c>
      <c r="E134" s="334">
        <f>IF(1-4*$E$75&gt;=$E$75,$E$75*$E$62,IF((1-4*$E$75)&lt;=0,0,(1-4*$E$75)*$E$62))+IF(1-4*$F$75&gt;=$F$75,$F$75*$F$62,IF((1-4*$F$75)&lt;=0,0,(1-4*$F$75)*$F$62))+IF(1-4*$G$75&gt;=$G$75,$G$75*$G$62,IF((1-4*$G$75)&lt;=0,0,(1-4*$G$75)*$G$62))</f>
        <v>0</v>
      </c>
      <c r="F134" s="334">
        <f>IF(1-3*$H$75&gt;=$H$75,$H$75*$H$62,IF((1-3*$H$75)&lt;=0,0,(1-3*$H$75)*$H$62))</f>
        <v>0</v>
      </c>
      <c r="G134" s="334">
        <f>IF(1-2*$I$75&gt;=$I$75,$I$75*$I$62,IF((1-2*$I$75)&lt;=0,0,(1-2*$I$75)*$I$62))</f>
        <v>0</v>
      </c>
      <c r="H134" s="334">
        <f>IF(1-$J$75&gt;=$J$75,$J$75*$J$62,(1-$J$75)*$J$62)</f>
        <v>0</v>
      </c>
      <c r="I134" s="334">
        <f>$K$62*$K$75</f>
        <v>0</v>
      </c>
      <c r="J134" s="330">
        <f>SUM(E134:I134)</f>
        <v>0</v>
      </c>
      <c r="L134" s="327"/>
      <c r="M134" s="325"/>
      <c r="N134" s="326"/>
      <c r="O134" s="327"/>
      <c r="P134" s="325"/>
      <c r="Q134" s="326"/>
      <c r="R134" s="327"/>
      <c r="S134" s="325"/>
      <c r="T134" s="325"/>
      <c r="V134" s="325"/>
      <c r="W134" s="325"/>
    </row>
    <row r="135" spans="4:23" ht="18" hidden="1" customHeight="1">
      <c r="I135" s="327"/>
      <c r="L135" s="327"/>
      <c r="M135" s="325"/>
      <c r="N135" s="326"/>
      <c r="O135" s="327"/>
      <c r="P135" s="325"/>
      <c r="Q135" s="326"/>
      <c r="R135" s="327"/>
      <c r="S135" s="325"/>
      <c r="T135" s="325"/>
      <c r="V135" s="325"/>
      <c r="W135" s="325"/>
    </row>
    <row r="136" spans="4:23" ht="18" hidden="1" customHeight="1">
      <c r="D136" s="329" t="str">
        <f>D76</f>
        <v>Equipamientos informáticos</v>
      </c>
      <c r="E136" s="961" t="s">
        <v>183</v>
      </c>
      <c r="F136" s="962"/>
      <c r="G136" s="962"/>
      <c r="H136" s="962"/>
      <c r="I136" s="963"/>
      <c r="J136" s="330" t="s">
        <v>184</v>
      </c>
      <c r="L136" s="327"/>
      <c r="M136" s="325"/>
      <c r="N136" s="326"/>
      <c r="O136" s="327"/>
      <c r="P136" s="325"/>
      <c r="Q136" s="326"/>
      <c r="R136" s="327"/>
      <c r="S136" s="325"/>
      <c r="T136" s="325"/>
      <c r="V136" s="325"/>
      <c r="W136" s="325"/>
    </row>
    <row r="137" spans="4:23" ht="18" hidden="1" customHeight="1">
      <c r="D137" s="329" t="s">
        <v>178</v>
      </c>
      <c r="E137" s="334">
        <f>$E$63*$E$76+$F$63*$E$76+$G$63*$G$76</f>
        <v>0</v>
      </c>
      <c r="F137" s="334"/>
      <c r="G137" s="334"/>
      <c r="H137" s="334"/>
      <c r="I137" s="334"/>
      <c r="J137" s="330">
        <f>SUM(E137:I137)</f>
        <v>0</v>
      </c>
      <c r="L137" s="327"/>
      <c r="M137" s="325"/>
      <c r="N137" s="326"/>
      <c r="O137" s="327"/>
      <c r="P137" s="325"/>
      <c r="Q137" s="326"/>
      <c r="R137" s="327"/>
      <c r="S137" s="325"/>
      <c r="T137" s="325"/>
      <c r="V137" s="325"/>
      <c r="W137" s="325"/>
    </row>
    <row r="138" spans="4:23" ht="18" hidden="1" customHeight="1">
      <c r="D138" s="329" t="s">
        <v>179</v>
      </c>
      <c r="E138" s="334">
        <f>IF(1-$E$76&gt;=$E$76,$E$76*$E$63,(1-$E$76)*$E$63)+IF(1-$F$76&gt;=$F$76,$F$76*$F$63,(1-$F$76)*$F$63)+IF(1-$G$76&gt;=$G$76,$G$76*$G$63,(1-$G$76)*$G$63)</f>
        <v>0</v>
      </c>
      <c r="F138" s="334">
        <f>$H$63*$H$76</f>
        <v>0</v>
      </c>
      <c r="G138" s="334"/>
      <c r="H138" s="334"/>
      <c r="I138" s="334"/>
      <c r="J138" s="330">
        <f>SUM(E138:I138)</f>
        <v>0</v>
      </c>
      <c r="L138" s="327"/>
      <c r="M138" s="325"/>
      <c r="N138" s="326"/>
      <c r="O138" s="327"/>
      <c r="P138" s="325"/>
      <c r="Q138" s="326"/>
      <c r="R138" s="327"/>
      <c r="S138" s="325"/>
      <c r="T138" s="325"/>
      <c r="V138" s="325"/>
      <c r="W138" s="325"/>
    </row>
    <row r="139" spans="4:23" ht="18" hidden="1" customHeight="1">
      <c r="D139" s="329" t="s">
        <v>180</v>
      </c>
      <c r="E139" s="334">
        <f>IF(1-2*$E$76&gt;=$E$76,$E$76*$E$63,IF((1-2*$E$76)&lt;=0,0,(1-2*$E$76)*$E$63))+IF(1-2*$F$76&gt;=$F$76,$F$76*$F$63,IF((1-2*$F$76)&lt;=0,0,(1-2*$F$76)*$F$63))+IF(1-2*$G$76&gt;=$G$76,$G$76*$G$63,IF((1-2*$G$76)&lt;=0,0,(1-2*$G$76)*$G$63))</f>
        <v>0</v>
      </c>
      <c r="F139" s="334">
        <f>IF(1-$H$76&gt;=$H$76,$H$76*$H$63,(1-$H$76)*$H$63)</f>
        <v>0</v>
      </c>
      <c r="G139" s="334">
        <f>$I$63*$I$76</f>
        <v>0</v>
      </c>
      <c r="H139" s="334"/>
      <c r="I139" s="334"/>
      <c r="J139" s="330">
        <f>SUM(E139:I139)</f>
        <v>0</v>
      </c>
      <c r="L139" s="327"/>
      <c r="M139" s="325"/>
      <c r="N139" s="326"/>
      <c r="O139" s="327"/>
      <c r="P139" s="325"/>
      <c r="Q139" s="326"/>
      <c r="R139" s="327"/>
      <c r="S139" s="325"/>
      <c r="T139" s="325"/>
      <c r="V139" s="325"/>
      <c r="W139" s="325"/>
    </row>
    <row r="140" spans="4:23" ht="18" hidden="1" customHeight="1">
      <c r="D140" s="329" t="s">
        <v>181</v>
      </c>
      <c r="E140" s="334">
        <f>IF(1-3*$E$76&gt;=$E$76,$E$76*$E$63,IF((1-3*$E$76)&lt;=0,0,(1-3*$E$76)*$E$63))+IF(1-3*$F$76&gt;=$F$76,$F$76*$F$63,IF((1-3*$F$76)&lt;=0,0,(1-3*$F$76)*$F$63))+IF(1-3*$G$76&gt;=$G$76,$G$76*$G$63,IF((1-3*$G$76)&lt;=0,0,(1-3*$G$76)*$G$63))</f>
        <v>0</v>
      </c>
      <c r="F140" s="334">
        <f>IF(1-2*$H$76&gt;=$H$76,$H$76*$H$63,IF((1-2*$H$76)&lt;=0,0,(1-2*$H$76)*$H$63))</f>
        <v>0</v>
      </c>
      <c r="G140" s="334">
        <f>IF(1-$I$76&gt;=$I$76,$I$76*$I$63,(1-$I$76)*$I$63)</f>
        <v>0</v>
      </c>
      <c r="H140" s="334">
        <f>$J$63*$J$76</f>
        <v>0</v>
      </c>
      <c r="I140" s="334"/>
      <c r="J140" s="330">
        <f>SUM(E140:I140)</f>
        <v>0</v>
      </c>
      <c r="L140" s="327"/>
      <c r="M140" s="325"/>
      <c r="N140" s="326"/>
      <c r="O140" s="327"/>
      <c r="P140" s="325"/>
      <c r="Q140" s="326"/>
      <c r="R140" s="327"/>
      <c r="S140" s="325"/>
      <c r="T140" s="325"/>
      <c r="V140" s="325"/>
      <c r="W140" s="325"/>
    </row>
    <row r="141" spans="4:23" ht="18" hidden="1" customHeight="1">
      <c r="D141" s="329" t="s">
        <v>182</v>
      </c>
      <c r="E141" s="334">
        <f>IF(1-4*$E$76&gt;=$E$76,$E$76*$E$63,IF((1-4*$E$76)&lt;=0,0,(1-4*$E$76)*$E$63))+IF(1-4*$F$76&gt;=$F$76,$F$76*$F$63,IF((1-4*$F$76)&lt;=0,0,(1-4*$F$76)*$F$63))+IF(1-4*$G$76&gt;=$G$76,$G$76*$G$63,IF((1-4*$G$76)&lt;=0,0,(1-4*$G$76)*$G$63))</f>
        <v>0</v>
      </c>
      <c r="F141" s="334">
        <f>IF(1-3*$H$76&gt;=$H$76,$H$76*$H$63,IF((1-3*$H$76)&lt;=0,0,(1-3*$H$76)*$H$63))</f>
        <v>0</v>
      </c>
      <c r="G141" s="334">
        <f>IF(1-2*$I$76&gt;=$I$76,$I$76*$I$63,IF((1-2*$I$76)&lt;=0,0,(1-2*$I$76)*$I$63))</f>
        <v>0</v>
      </c>
      <c r="H141" s="334">
        <f>IF(1-$J$76&gt;=$J$76,$J$76*$J$63,(1-$J$76)*$J$63)</f>
        <v>0</v>
      </c>
      <c r="I141" s="334">
        <f>$K$63*$K$76</f>
        <v>0</v>
      </c>
      <c r="J141" s="330">
        <f>SUM(E141:I141)</f>
        <v>0</v>
      </c>
      <c r="L141" s="327"/>
      <c r="M141" s="325"/>
      <c r="N141" s="326"/>
      <c r="O141" s="327"/>
      <c r="P141" s="325"/>
      <c r="Q141" s="326"/>
      <c r="R141" s="327"/>
      <c r="S141" s="325"/>
      <c r="T141" s="325"/>
      <c r="V141" s="325"/>
      <c r="W141" s="325"/>
    </row>
    <row r="142" spans="4:23" ht="18" hidden="1" customHeight="1">
      <c r="I142" s="327"/>
      <c r="L142" s="327"/>
      <c r="M142" s="325"/>
      <c r="N142" s="326"/>
      <c r="O142" s="327"/>
      <c r="P142" s="325"/>
      <c r="Q142" s="326"/>
      <c r="R142" s="327"/>
      <c r="S142" s="325"/>
      <c r="T142" s="325"/>
      <c r="V142" s="325"/>
      <c r="W142" s="325"/>
    </row>
    <row r="143" spans="4:23" ht="21.75" hidden="1" customHeight="1">
      <c r="D143" s="331" t="str">
        <f>D77</f>
        <v>Inmovilizaciones realizadas por la propia empresa</v>
      </c>
      <c r="E143" s="961" t="s">
        <v>183</v>
      </c>
      <c r="F143" s="962"/>
      <c r="G143" s="962"/>
      <c r="H143" s="962"/>
      <c r="I143" s="963"/>
      <c r="J143" s="330" t="s">
        <v>184</v>
      </c>
      <c r="L143" s="327"/>
      <c r="M143" s="325"/>
      <c r="N143" s="326"/>
      <c r="O143" s="327"/>
      <c r="P143" s="325"/>
      <c r="Q143" s="326"/>
      <c r="R143" s="327"/>
      <c r="S143" s="325"/>
      <c r="T143" s="325"/>
      <c r="V143" s="325"/>
      <c r="W143" s="325"/>
    </row>
    <row r="144" spans="4:23" ht="18" hidden="1" customHeight="1">
      <c r="D144" s="329" t="s">
        <v>178</v>
      </c>
      <c r="E144" s="334">
        <f>$E$64*$E$77+$G$64*$G$77</f>
        <v>0</v>
      </c>
      <c r="F144" s="334"/>
      <c r="G144" s="334"/>
      <c r="H144" s="334"/>
      <c r="I144" s="334"/>
      <c r="J144" s="330">
        <f>SUM(E144:I144)</f>
        <v>0</v>
      </c>
      <c r="L144" s="327"/>
      <c r="M144" s="325"/>
      <c r="N144" s="326"/>
      <c r="O144" s="327"/>
      <c r="P144" s="325"/>
      <c r="Q144" s="326"/>
      <c r="R144" s="327"/>
      <c r="S144" s="325"/>
      <c r="T144" s="325"/>
      <c r="V144" s="325"/>
      <c r="W144" s="325"/>
    </row>
    <row r="145" spans="4:23" ht="18" hidden="1" customHeight="1">
      <c r="D145" s="329" t="s">
        <v>179</v>
      </c>
      <c r="E145" s="334">
        <f>IF(1-$E$77&gt;=$E$77,$E$77*$E$64,(1-$E$77)*$E$64)+IF(1-$G$77&gt;=$G$77,$G$77*$G$64,(1-$G$77)*$G$64)</f>
        <v>0</v>
      </c>
      <c r="F145" s="334">
        <f>$H$64*$H$77</f>
        <v>0</v>
      </c>
      <c r="G145" s="334"/>
      <c r="H145" s="334"/>
      <c r="I145" s="334"/>
      <c r="J145" s="330">
        <f>SUM(E145:I145)</f>
        <v>0</v>
      </c>
      <c r="L145" s="327"/>
      <c r="M145" s="325"/>
      <c r="N145" s="326"/>
      <c r="O145" s="327"/>
      <c r="P145" s="325"/>
      <c r="Q145" s="326"/>
      <c r="R145" s="327"/>
      <c r="S145" s="325"/>
      <c r="T145" s="325"/>
      <c r="V145" s="325"/>
      <c r="W145" s="325"/>
    </row>
    <row r="146" spans="4:23" ht="18" hidden="1" customHeight="1">
      <c r="D146" s="329" t="s">
        <v>180</v>
      </c>
      <c r="E146" s="334">
        <f>IF(1-2*$E$77&gt;=$E$77,$E$77*$E$64,IF((1-2*$E$77)&lt;=0,0,(1-2*$E$77)*$E$64))+IF(1-2*$G$77&gt;=$G$77,$G$77*$G$64,IF((1-2*$G$77)&lt;=0,0,(1-2*$G$77)*$G$64))</f>
        <v>0</v>
      </c>
      <c r="F146" s="334">
        <f>IF(1-$H$77&gt;=$H$77,$H$77*$H$64,(1-$H$77)*$H$64)</f>
        <v>0</v>
      </c>
      <c r="G146" s="334">
        <f>$I$64*$I$77</f>
        <v>0</v>
      </c>
      <c r="H146" s="334"/>
      <c r="I146" s="334"/>
      <c r="J146" s="330">
        <f>SUM(E146:I146)</f>
        <v>0</v>
      </c>
      <c r="L146" s="327"/>
      <c r="M146" s="325"/>
      <c r="N146" s="326"/>
      <c r="O146" s="327"/>
      <c r="P146" s="325"/>
      <c r="Q146" s="326"/>
      <c r="R146" s="327"/>
      <c r="S146" s="325"/>
      <c r="T146" s="325"/>
      <c r="V146" s="325"/>
      <c r="W146" s="325"/>
    </row>
    <row r="147" spans="4:23" ht="18" hidden="1" customHeight="1">
      <c r="D147" s="329" t="s">
        <v>181</v>
      </c>
      <c r="E147" s="334">
        <f>IF(1-3*$E$77&gt;=$E$77,$E$77*$E$64,IF((1-3*$E$77)&lt;=0,0,(1-3*$E$77)*$E$64))+IF(1-3*$G$77&gt;=$G$77,$G$77*$G$64,IF((1-3*$G$77)&lt;=0,0,(1-3*$G$77)*$G$64))</f>
        <v>0</v>
      </c>
      <c r="F147" s="334">
        <f>IF(1-2*$H$77&gt;=$H$77,$H$77*$H$64,IF((1-2*$H$77)&lt;=0,0,(1-2*$H$77)*$H$64))</f>
        <v>0</v>
      </c>
      <c r="G147" s="334">
        <f>IF(1-$I$77&gt;=$I$77,$I$77*$I$64,(1-$I$77)*$I$64)</f>
        <v>0</v>
      </c>
      <c r="H147" s="334">
        <f>$J$64*$J$77</f>
        <v>0</v>
      </c>
      <c r="I147" s="334"/>
      <c r="J147" s="330">
        <f>SUM(E147:I147)</f>
        <v>0</v>
      </c>
      <c r="L147" s="327"/>
      <c r="M147" s="325"/>
      <c r="N147" s="326"/>
      <c r="O147" s="327"/>
      <c r="P147" s="325"/>
      <c r="Q147" s="326"/>
      <c r="R147" s="327"/>
      <c r="S147" s="325"/>
      <c r="T147" s="325"/>
      <c r="V147" s="325"/>
      <c r="W147" s="325"/>
    </row>
    <row r="148" spans="4:23" ht="18" hidden="1" customHeight="1">
      <c r="D148" s="329" t="s">
        <v>182</v>
      </c>
      <c r="E148" s="334">
        <f>IF(1-4*$E$77&gt;=$E$77,$E$77*$E$64,IF((1-4*$E$77)&lt;=0,0,(1-4*$E$77)*$E$64))+IF(1-4*$G$77&gt;=$G$77,$G$77*$G$64,IF((1-4*$G$77)&lt;=0,0,(1-4*$G$77)*$G$64))</f>
        <v>0</v>
      </c>
      <c r="F148" s="334">
        <f>IF(1-3*$H$77&gt;=$H$77,$H$77*$H$64,IF((1-3*$H$77)&lt;=0,0,(1-3*$H$77)*$H$64))</f>
        <v>0</v>
      </c>
      <c r="G148" s="334">
        <f>IF(1-2*$I$77&gt;=$I$77,$I$77*$I$64,IF((1-2*$I$77)&lt;=0,0,(1-2*$I$77)*$I$64))</f>
        <v>0</v>
      </c>
      <c r="H148" s="334">
        <f>IF(1-$J$77&gt;=$J$77,$J$77*$J$64,(1-$J$77)*$J$64)</f>
        <v>0</v>
      </c>
      <c r="I148" s="334">
        <f>$K$64*$K$77</f>
        <v>0</v>
      </c>
      <c r="J148" s="330">
        <f>SUM(E148:I148)</f>
        <v>0</v>
      </c>
      <c r="L148" s="327"/>
      <c r="M148" s="325"/>
      <c r="N148" s="326"/>
      <c r="O148" s="327"/>
      <c r="P148" s="325"/>
      <c r="Q148" s="326"/>
      <c r="R148" s="327"/>
      <c r="S148" s="325"/>
      <c r="T148" s="325"/>
      <c r="V148" s="325"/>
      <c r="W148" s="325"/>
    </row>
    <row r="149" spans="4:23" ht="18" hidden="1" customHeight="1">
      <c r="I149" s="327"/>
      <c r="L149" s="327"/>
      <c r="M149" s="325"/>
      <c r="N149" s="326"/>
      <c r="O149" s="327"/>
      <c r="P149" s="325"/>
      <c r="Q149" s="326"/>
      <c r="R149" s="327"/>
      <c r="S149" s="325"/>
      <c r="T149" s="325"/>
      <c r="V149" s="325"/>
      <c r="W149" s="325"/>
    </row>
    <row r="150" spans="4:23" ht="18" hidden="1" customHeight="1">
      <c r="D150" s="329" t="str">
        <f>D78</f>
        <v>Otras inversiones materiales</v>
      </c>
      <c r="E150" s="961" t="s">
        <v>183</v>
      </c>
      <c r="F150" s="962"/>
      <c r="G150" s="962"/>
      <c r="H150" s="962"/>
      <c r="I150" s="963"/>
      <c r="J150" s="330" t="s">
        <v>184</v>
      </c>
      <c r="L150" s="327"/>
      <c r="M150" s="325"/>
      <c r="N150" s="326"/>
      <c r="O150" s="327"/>
      <c r="P150" s="325"/>
      <c r="Q150" s="326"/>
      <c r="R150" s="327"/>
      <c r="S150" s="325"/>
      <c r="T150" s="325"/>
      <c r="V150" s="325"/>
      <c r="W150" s="325"/>
    </row>
    <row r="151" spans="4:23" ht="18" hidden="1" customHeight="1">
      <c r="D151" s="329" t="s">
        <v>178</v>
      </c>
      <c r="E151" s="334">
        <f>$E$65*$E$78+$F$65*$E$78+$G$65*$G$78</f>
        <v>0</v>
      </c>
      <c r="F151" s="334"/>
      <c r="G151" s="334"/>
      <c r="H151" s="334"/>
      <c r="I151" s="334"/>
      <c r="J151" s="330">
        <f>SUM(E151:I151)</f>
        <v>0</v>
      </c>
      <c r="L151" s="327"/>
      <c r="M151" s="325"/>
      <c r="N151" s="326"/>
      <c r="O151" s="327"/>
      <c r="P151" s="325"/>
      <c r="Q151" s="326"/>
      <c r="R151" s="327"/>
      <c r="S151" s="325"/>
      <c r="T151" s="325"/>
      <c r="V151" s="325"/>
      <c r="W151" s="325"/>
    </row>
    <row r="152" spans="4:23" ht="18" hidden="1" customHeight="1">
      <c r="D152" s="329" t="s">
        <v>179</v>
      </c>
      <c r="E152" s="334">
        <f>IF(1-$E$78&gt;=$E$78,$E$78*$E$65,(1-$E$78)*$E$65)+IF(1-$F$78&gt;=$F$78,$F$78*$F$65,(1-$F$78)*$F$65)+IF(1-$G$78&gt;=$G$78,$G$78*$G$65,(1-$G$78)*$G$65)</f>
        <v>0</v>
      </c>
      <c r="F152" s="334">
        <f>$H$65*$H$78</f>
        <v>0</v>
      </c>
      <c r="G152" s="334"/>
      <c r="H152" s="334"/>
      <c r="I152" s="334"/>
      <c r="J152" s="330">
        <f>SUM(E152:I152)</f>
        <v>0</v>
      </c>
      <c r="L152" s="327"/>
      <c r="M152" s="325"/>
      <c r="N152" s="326"/>
      <c r="O152" s="327"/>
      <c r="P152" s="325"/>
      <c r="Q152" s="326"/>
      <c r="R152" s="327"/>
      <c r="S152" s="325"/>
      <c r="T152" s="325"/>
      <c r="V152" s="325"/>
      <c r="W152" s="325"/>
    </row>
    <row r="153" spans="4:23" ht="18" hidden="1" customHeight="1">
      <c r="D153" s="329" t="s">
        <v>180</v>
      </c>
      <c r="E153" s="334">
        <f>IF(1-2*$E$78&gt;=$E$78,$E$78*$E$65,IF((1-2*$E$78)&lt;=0,0,(1-2*$E$78)*$E$65))+IF(1-2*$F$78&gt;=$F$78,$F$78*$F$65,IF((1-2*$F$78)&lt;=0,0,(1-2*$F$78)*$F$65))+IF(1-2*$G$78&gt;=$G$78,$G$78*$G$65,IF((1-2*$G$78)&lt;=0,0,(1-2*$G$78)*$G$65))</f>
        <v>0</v>
      </c>
      <c r="F153" s="334">
        <f>IF(1-$H$78&gt;=$H$78,$H$78*$H$65,(1-$H$78)*$H$65)</f>
        <v>0</v>
      </c>
      <c r="G153" s="334">
        <f>$I$65*$I$78</f>
        <v>0</v>
      </c>
      <c r="H153" s="334"/>
      <c r="I153" s="334"/>
      <c r="J153" s="330">
        <f>SUM(E153:I153)</f>
        <v>0</v>
      </c>
      <c r="L153" s="327"/>
      <c r="M153" s="325"/>
      <c r="N153" s="326"/>
      <c r="O153" s="327"/>
      <c r="P153" s="325"/>
      <c r="Q153" s="326"/>
      <c r="R153" s="327"/>
      <c r="S153" s="325"/>
      <c r="T153" s="325"/>
      <c r="V153" s="325"/>
      <c r="W153" s="325"/>
    </row>
    <row r="154" spans="4:23" ht="18" hidden="1" customHeight="1">
      <c r="D154" s="329" t="s">
        <v>181</v>
      </c>
      <c r="E154" s="334">
        <f>IF(1-3*$E$78&gt;=$E$78,$E$78*$E$65,IF((1-3*$E$78)&lt;=0,0,(1-3*$E$78)*$E$65))+IF(1-3*$F$78&gt;=$F$78,$F$78*$F$65,IF((1-3*$F$78)&lt;=0,0,(1-3*$F$78)*$F$65))+IF(1-3*$G$78&gt;=$G$78,$G$78*$G$65,IF((1-3*$G$78)&lt;=0,0,(1-3*$G$78)*$G$65))</f>
        <v>0</v>
      </c>
      <c r="F154" s="334">
        <f>IF(1-2*$H$78&gt;=$H$78,$H$78*$H$65,IF((1-2*$H$78)&lt;=0,0,(1-2*$H$78)*$H$65))</f>
        <v>0</v>
      </c>
      <c r="G154" s="334">
        <f>IF(1-$I$78&gt;=$I$78,$I$78*$I$65,(1-$I$78)*$I$65)</f>
        <v>0</v>
      </c>
      <c r="H154" s="334">
        <f>$J$65*$J$78</f>
        <v>0</v>
      </c>
      <c r="I154" s="334"/>
      <c r="J154" s="330">
        <f>SUM(E154:I154)</f>
        <v>0</v>
      </c>
      <c r="L154" s="327"/>
      <c r="M154" s="325"/>
      <c r="N154" s="326"/>
      <c r="O154" s="327"/>
      <c r="P154" s="325"/>
      <c r="Q154" s="326"/>
      <c r="R154" s="327"/>
      <c r="S154" s="325"/>
      <c r="T154" s="325"/>
      <c r="V154" s="325"/>
      <c r="W154" s="325"/>
    </row>
    <row r="155" spans="4:23" ht="18" hidden="1" customHeight="1">
      <c r="D155" s="329" t="s">
        <v>182</v>
      </c>
      <c r="E155" s="334">
        <f>IF(1-4*$E$78&gt;=$E$78,$E$78*$E$65,IF((1-4*$E$78)&lt;=0,0,(1-4*$E$78)*$E$65))+IF(1-4*$F$78&gt;=$F$78,$F$78*$F$65,IF((1-4*$F$78)&lt;=0,0,(1-4*$F$78)*$F$65))+IF(1-4*$G$78&gt;=$G$78,$G$78*$G$65,IF((1-4*$G$78)&lt;=0,0,(1-4*$G$78)*$G$65))</f>
        <v>0</v>
      </c>
      <c r="F155" s="334">
        <f>IF(1-3*$H$78&gt;=$H$78,$H$78*$H$65,IF((1-3*$H$78)&lt;=0,0,(1-3*$H$78)*$H$65))</f>
        <v>0</v>
      </c>
      <c r="G155" s="334">
        <f>IF(1-2*$I$78&gt;=$I$78,$I$78*$I$65,IF((1-2*$I$78)&lt;=0,0,(1-2*$I$78)*$I$65))</f>
        <v>0</v>
      </c>
      <c r="H155" s="334">
        <f>IF(1-$J$78&gt;=$J$78,$J$78*$J$65,(1-$J$78)*$J$65)</f>
        <v>0</v>
      </c>
      <c r="I155" s="334">
        <f>$K$65*$K$78</f>
        <v>0</v>
      </c>
      <c r="J155" s="330">
        <f>SUM(E155:I155)</f>
        <v>0</v>
      </c>
      <c r="L155" s="327"/>
      <c r="M155" s="325"/>
      <c r="N155" s="326"/>
      <c r="O155" s="327"/>
      <c r="P155" s="325"/>
      <c r="Q155" s="326"/>
      <c r="R155" s="327"/>
      <c r="S155" s="325"/>
      <c r="T155" s="325"/>
      <c r="V155" s="325"/>
      <c r="W155" s="325"/>
    </row>
    <row r="156" spans="4:23" hidden="1">
      <c r="H156" s="327"/>
      <c r="I156" s="325"/>
      <c r="K156" s="327"/>
      <c r="L156" s="325"/>
      <c r="S156" s="325"/>
      <c r="T156" s="325"/>
      <c r="V156" s="325"/>
      <c r="W156" s="325"/>
    </row>
    <row r="157" spans="4:23">
      <c r="H157" s="327"/>
      <c r="I157" s="325"/>
      <c r="K157" s="327"/>
      <c r="L157" s="325"/>
      <c r="S157" s="325"/>
      <c r="T157" s="325"/>
      <c r="V157" s="325"/>
      <c r="W157" s="325"/>
    </row>
    <row r="158" spans="4:23">
      <c r="H158" s="327"/>
      <c r="I158" s="325"/>
      <c r="K158" s="327"/>
      <c r="L158" s="325"/>
      <c r="S158" s="325"/>
      <c r="T158" s="325"/>
      <c r="V158" s="325"/>
      <c r="W158" s="325"/>
    </row>
    <row r="159" spans="4:23">
      <c r="H159" s="327"/>
      <c r="I159" s="325"/>
      <c r="K159" s="327"/>
      <c r="L159" s="325"/>
      <c r="S159" s="325"/>
      <c r="T159" s="325"/>
      <c r="V159" s="325"/>
      <c r="W159" s="325"/>
    </row>
    <row r="160" spans="4:23">
      <c r="H160" s="327"/>
      <c r="I160" s="325"/>
      <c r="K160" s="327"/>
      <c r="L160" s="325"/>
      <c r="S160" s="325"/>
      <c r="T160" s="325"/>
      <c r="V160" s="325"/>
      <c r="W160" s="325"/>
    </row>
    <row r="161" spans="8:23">
      <c r="H161" s="327"/>
      <c r="I161" s="325"/>
      <c r="K161" s="327"/>
      <c r="L161" s="325"/>
      <c r="S161" s="325"/>
      <c r="T161" s="325"/>
      <c r="V161" s="325"/>
      <c r="W161" s="325"/>
    </row>
    <row r="162" spans="8:23">
      <c r="H162" s="327"/>
      <c r="I162" s="325"/>
      <c r="K162" s="327"/>
      <c r="L162" s="325"/>
      <c r="S162" s="325"/>
      <c r="T162" s="325"/>
      <c r="V162" s="325"/>
      <c r="W162" s="325"/>
    </row>
    <row r="163" spans="8:23">
      <c r="H163" s="327"/>
      <c r="I163" s="325"/>
      <c r="K163" s="327"/>
      <c r="L163" s="325"/>
      <c r="S163" s="325"/>
      <c r="T163" s="325"/>
      <c r="V163" s="325"/>
      <c r="W163" s="325"/>
    </row>
    <row r="164" spans="8:23">
      <c r="I164" s="327"/>
      <c r="J164" s="325"/>
      <c r="L164" s="327"/>
      <c r="M164" s="325"/>
      <c r="N164" s="326"/>
      <c r="O164" s="327"/>
      <c r="P164" s="325"/>
      <c r="Q164" s="326"/>
      <c r="R164" s="327"/>
      <c r="S164" s="325"/>
      <c r="T164" s="325"/>
      <c r="V164" s="325"/>
      <c r="W164" s="325"/>
    </row>
    <row r="165" spans="8:23">
      <c r="L165" s="327"/>
      <c r="M165" s="325"/>
      <c r="N165" s="326"/>
      <c r="O165" s="327"/>
      <c r="P165" s="325"/>
      <c r="Q165" s="326"/>
      <c r="R165" s="327"/>
      <c r="S165" s="325"/>
      <c r="T165" s="326"/>
      <c r="U165" s="327"/>
      <c r="V165" s="325"/>
      <c r="W165" s="325"/>
    </row>
    <row r="166" spans="8:23">
      <c r="L166" s="327"/>
      <c r="M166" s="325"/>
      <c r="N166" s="326"/>
      <c r="O166" s="327"/>
      <c r="P166" s="325"/>
      <c r="Q166" s="326"/>
      <c r="R166" s="327"/>
      <c r="S166" s="325"/>
      <c r="T166" s="326"/>
      <c r="U166" s="327"/>
      <c r="V166" s="325"/>
      <c r="W166" s="325"/>
    </row>
  </sheetData>
  <sheetProtection password="A6E9" sheet="1" formatColumns="0"/>
  <mergeCells count="26">
    <mergeCell ref="A32:W32"/>
    <mergeCell ref="E129:I129"/>
    <mergeCell ref="E136:I136"/>
    <mergeCell ref="E143:I143"/>
    <mergeCell ref="E80:I80"/>
    <mergeCell ref="E87:I87"/>
    <mergeCell ref="E94:I94"/>
    <mergeCell ref="E101:I101"/>
    <mergeCell ref="E108:I108"/>
    <mergeCell ref="E150:I150"/>
    <mergeCell ref="A5:D5"/>
    <mergeCell ref="C8:D8"/>
    <mergeCell ref="C18:D18"/>
    <mergeCell ref="A26:D26"/>
    <mergeCell ref="A27:D27"/>
    <mergeCell ref="E115:I115"/>
    <mergeCell ref="E122:I122"/>
    <mergeCell ref="A30:W30"/>
    <mergeCell ref="A31:W31"/>
    <mergeCell ref="I3:K4"/>
    <mergeCell ref="L3:N4"/>
    <mergeCell ref="A3:D4"/>
    <mergeCell ref="U3:W4"/>
    <mergeCell ref="R3:T4"/>
    <mergeCell ref="O3:Q4"/>
    <mergeCell ref="G3:H4"/>
  </mergeCells>
  <phoneticPr fontId="0" type="noConversion"/>
  <printOptions horizontalCentered="1" gridLinesSet="0"/>
  <pageMargins left="0.47244094488188981" right="0.51181102362204722" top="1.0629921259842521" bottom="0.98425196850393704" header="0.62992125984251968" footer="0.51181102362204722"/>
  <pageSetup paperSize="9" scale="48" pageOrder="overThenDown" orientation="landscape" horizontalDpi="300" verticalDpi="300" r:id="rId1"/>
  <headerFooter alignWithMargins="0">
    <oddHeader>&amp;C&amp;"Trebuchet MS,Normal"&amp;14&amp;U&amp;A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70" r:id="rId4" name="Button 2">
              <controlPr defaultSize="0" print="0" autoFill="0" autoPict="0" macro="[0]!Inicio">
                <anchor moveWithCells="1" sizeWithCells="1">
                  <from>
                    <xdr:col>2</xdr:col>
                    <xdr:colOff>123825</xdr:colOff>
                    <xdr:row>0</xdr:row>
                    <xdr:rowOff>76200</xdr:rowOff>
                  </from>
                  <to>
                    <xdr:col>3</xdr:col>
                    <xdr:colOff>1114425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autoPageBreaks="0" fitToPage="1"/>
  </sheetPr>
  <dimension ref="A2:M183"/>
  <sheetViews>
    <sheetView showGridLines="0" showZeros="0" zoomScale="90" zoomScaleNormal="90" workbookViewId="0">
      <selection activeCell="C5" sqref="C5"/>
    </sheetView>
  </sheetViews>
  <sheetFormatPr baseColWidth="10" defaultColWidth="0" defaultRowHeight="18"/>
  <cols>
    <col min="1" max="1" width="40.25" style="15" customWidth="1"/>
    <col min="2" max="2" width="12.5" style="35" hidden="1" customWidth="1"/>
    <col min="3" max="3" width="13.5" style="15" customWidth="1"/>
    <col min="4" max="7" width="11.625" style="15" customWidth="1"/>
    <col min="8" max="9" width="11.25" style="15" customWidth="1"/>
    <col min="10" max="12" width="0" style="15" hidden="1" customWidth="1"/>
    <col min="13" max="13" width="12.375" style="15" hidden="1" customWidth="1"/>
    <col min="14" max="16384" width="0" style="15" hidden="1"/>
  </cols>
  <sheetData>
    <row r="2" spans="1:8" ht="18.75" thickBot="1"/>
    <row r="3" spans="1:8" ht="36.75" customHeight="1" thickBot="1">
      <c r="A3" s="611" t="s">
        <v>188</v>
      </c>
      <c r="B3" s="612"/>
      <c r="C3" s="612"/>
      <c r="D3" s="612"/>
      <c r="E3" s="612"/>
      <c r="F3" s="612"/>
      <c r="G3" s="612"/>
      <c r="H3" s="613"/>
    </row>
    <row r="4" spans="1:8" s="16" customFormat="1" ht="33">
      <c r="A4" s="120" t="s">
        <v>72</v>
      </c>
      <c r="B4" s="121" t="s">
        <v>460</v>
      </c>
      <c r="C4" s="121" t="s">
        <v>151</v>
      </c>
      <c r="D4" s="570" t="s">
        <v>60</v>
      </c>
      <c r="E4" s="121" t="s">
        <v>61</v>
      </c>
      <c r="F4" s="121" t="s">
        <v>62</v>
      </c>
      <c r="G4" s="121" t="s">
        <v>176</v>
      </c>
      <c r="H4" s="631" t="s">
        <v>177</v>
      </c>
    </row>
    <row r="5" spans="1:8" s="117" customFormat="1" ht="15">
      <c r="A5" s="116" t="s">
        <v>65</v>
      </c>
      <c r="B5" s="212">
        <f>'Balance inicial'!I4</f>
        <v>0</v>
      </c>
      <c r="C5" s="642"/>
      <c r="D5" s="642"/>
      <c r="E5" s="642"/>
      <c r="F5" s="642"/>
      <c r="G5" s="642"/>
      <c r="H5" s="642"/>
    </row>
    <row r="6" spans="1:8" s="117" customFormat="1" ht="15">
      <c r="A6" s="116" t="s">
        <v>264</v>
      </c>
      <c r="B6" s="212">
        <f>'Balance inicial'!I5</f>
        <v>0</v>
      </c>
      <c r="C6" s="658"/>
      <c r="D6" s="642"/>
      <c r="E6" s="642"/>
      <c r="F6" s="642"/>
      <c r="G6" s="642"/>
      <c r="H6" s="642"/>
    </row>
    <row r="7" spans="1:8" s="117" customFormat="1" ht="15" hidden="1">
      <c r="A7" s="118" t="s">
        <v>73</v>
      </c>
      <c r="B7" s="212">
        <f>'Balance inicial'!I6</f>
        <v>0</v>
      </c>
      <c r="C7" s="658"/>
      <c r="D7" s="642"/>
      <c r="E7" s="642"/>
      <c r="F7" s="642"/>
      <c r="G7" s="642"/>
      <c r="H7" s="642"/>
    </row>
    <row r="8" spans="1:8" s="117" customFormat="1" ht="15" hidden="1">
      <c r="A8" s="118" t="s">
        <v>425</v>
      </c>
      <c r="B8" s="212">
        <f>'Balance inicial'!I7</f>
        <v>0</v>
      </c>
      <c r="C8" s="658"/>
      <c r="D8" s="642"/>
      <c r="E8" s="642"/>
      <c r="F8" s="642"/>
      <c r="G8" s="642"/>
      <c r="H8" s="642"/>
    </row>
    <row r="9" spans="1:8" s="117" customFormat="1" ht="15" hidden="1">
      <c r="A9" s="118" t="s">
        <v>426</v>
      </c>
      <c r="B9" s="212">
        <f>'Balance inicial'!I8</f>
        <v>0</v>
      </c>
      <c r="C9" s="658"/>
      <c r="D9" s="642"/>
      <c r="E9" s="642"/>
      <c r="F9" s="642"/>
      <c r="G9" s="642"/>
      <c r="H9" s="642"/>
    </row>
    <row r="10" spans="1:8" s="117" customFormat="1" ht="15">
      <c r="A10" s="118" t="s">
        <v>427</v>
      </c>
      <c r="B10" s="212">
        <f>'Balance inicial'!I9</f>
        <v>0</v>
      </c>
      <c r="C10" s="658"/>
      <c r="D10" s="642"/>
      <c r="E10" s="642"/>
      <c r="F10" s="642"/>
      <c r="G10" s="642"/>
      <c r="H10" s="642"/>
    </row>
    <row r="11" spans="1:8" s="117" customFormat="1" ht="15" hidden="1">
      <c r="A11" s="118" t="s">
        <v>414</v>
      </c>
      <c r="B11" s="212">
        <f>'Balance inicial'!I10</f>
        <v>0</v>
      </c>
      <c r="C11" s="658"/>
      <c r="D11" s="642"/>
      <c r="E11" s="642"/>
      <c r="F11" s="642"/>
      <c r="G11" s="642"/>
      <c r="H11" s="642"/>
    </row>
    <row r="12" spans="1:8" s="117" customFormat="1" ht="15">
      <c r="A12" s="118" t="s">
        <v>428</v>
      </c>
      <c r="B12" s="212">
        <f>'Balance inicial'!I11</f>
        <v>0</v>
      </c>
      <c r="C12" s="658"/>
      <c r="D12" s="642"/>
      <c r="E12" s="642"/>
      <c r="F12" s="642"/>
      <c r="G12" s="642"/>
      <c r="H12" s="642"/>
    </row>
    <row r="13" spans="1:8" s="117" customFormat="1" ht="15.75" thickBot="1">
      <c r="A13" s="119" t="s">
        <v>153</v>
      </c>
      <c r="B13" s="593">
        <f>'Balance inicial'!I12</f>
        <v>0</v>
      </c>
      <c r="C13" s="642"/>
      <c r="D13" s="642"/>
      <c r="E13" s="642"/>
      <c r="F13" s="642"/>
      <c r="G13" s="642"/>
      <c r="H13" s="642"/>
    </row>
    <row r="14" spans="1:8" s="16" customFormat="1" ht="10.5" customHeight="1" thickBot="1">
      <c r="A14" s="17"/>
      <c r="B14" s="266"/>
      <c r="C14" s="266"/>
      <c r="D14" s="20"/>
      <c r="E14" s="18"/>
      <c r="F14" s="19"/>
      <c r="G14" s="20"/>
      <c r="H14" s="20"/>
    </row>
    <row r="15" spans="1:8" s="16" customFormat="1" ht="30.75" customHeight="1">
      <c r="A15" s="120" t="s">
        <v>305</v>
      </c>
      <c r="B15" s="121"/>
      <c r="C15" s="121" t="s">
        <v>151</v>
      </c>
      <c r="D15" s="121" t="s">
        <v>60</v>
      </c>
      <c r="E15" s="121" t="s">
        <v>61</v>
      </c>
      <c r="F15" s="122" t="s">
        <v>62</v>
      </c>
      <c r="G15" s="122" t="s">
        <v>176</v>
      </c>
      <c r="H15" s="123" t="s">
        <v>177</v>
      </c>
    </row>
    <row r="16" spans="1:8" s="117" customFormat="1" ht="15">
      <c r="A16" s="116" t="s">
        <v>232</v>
      </c>
      <c r="B16" s="635"/>
      <c r="C16" s="641"/>
      <c r="D16" s="645"/>
      <c r="E16" s="642"/>
      <c r="F16" s="643"/>
      <c r="G16" s="643"/>
      <c r="H16" s="644"/>
    </row>
    <row r="17" spans="1:8" s="117" customFormat="1" ht="15">
      <c r="A17" s="116" t="s">
        <v>127</v>
      </c>
      <c r="B17" s="636"/>
      <c r="C17" s="338"/>
      <c r="D17" s="646"/>
      <c r="E17" s="281"/>
      <c r="F17" s="282"/>
      <c r="G17" s="282"/>
      <c r="H17" s="283"/>
    </row>
    <row r="18" spans="1:8" s="117" customFormat="1" ht="15">
      <c r="A18" s="116" t="s">
        <v>233</v>
      </c>
      <c r="B18" s="636"/>
      <c r="C18" s="339"/>
      <c r="D18" s="646"/>
      <c r="E18" s="125"/>
      <c r="F18" s="126"/>
      <c r="G18" s="126"/>
      <c r="H18" s="127"/>
    </row>
    <row r="19" spans="1:8" s="117" customFormat="1" ht="15">
      <c r="A19" s="116" t="s">
        <v>304</v>
      </c>
      <c r="B19" s="636"/>
      <c r="C19" s="339"/>
      <c r="D19" s="646"/>
      <c r="E19" s="125"/>
      <c r="F19" s="126"/>
      <c r="G19" s="126"/>
      <c r="H19" s="127"/>
    </row>
    <row r="20" spans="1:8" s="117" customFormat="1" ht="15.75" thickBot="1">
      <c r="A20" s="124" t="s">
        <v>189</v>
      </c>
      <c r="B20" s="637"/>
      <c r="C20" s="594"/>
      <c r="D20" s="647"/>
      <c r="E20" s="595"/>
      <c r="F20" s="596"/>
      <c r="G20" s="596"/>
      <c r="H20" s="597"/>
    </row>
    <row r="21" spans="1:8" s="16" customFormat="1" ht="10.5" customHeight="1" thickBot="1">
      <c r="A21" s="17"/>
      <c r="B21" s="266"/>
      <c r="C21" s="266"/>
      <c r="D21" s="20"/>
      <c r="E21" s="18"/>
      <c r="F21" s="19"/>
      <c r="G21" s="20"/>
      <c r="H21" s="20"/>
    </row>
    <row r="22" spans="1:8" s="16" customFormat="1" ht="30" customHeight="1">
      <c r="A22" s="120" t="s">
        <v>306</v>
      </c>
      <c r="B22" s="121"/>
      <c r="C22" s="121" t="s">
        <v>151</v>
      </c>
      <c r="D22" s="121" t="s">
        <v>60</v>
      </c>
      <c r="E22" s="121" t="s">
        <v>61</v>
      </c>
      <c r="F22" s="122" t="s">
        <v>62</v>
      </c>
      <c r="G22" s="122" t="s">
        <v>176</v>
      </c>
      <c r="H22" s="123" t="s">
        <v>177</v>
      </c>
    </row>
    <row r="23" spans="1:8" s="117" customFormat="1" ht="15">
      <c r="A23" s="116" t="s">
        <v>232</v>
      </c>
      <c r="B23" s="635"/>
      <c r="C23" s="641"/>
      <c r="D23" s="645"/>
      <c r="E23" s="642"/>
      <c r="F23" s="643"/>
      <c r="G23" s="643"/>
      <c r="H23" s="644"/>
    </row>
    <row r="24" spans="1:8" s="117" customFormat="1" ht="15">
      <c r="A24" s="116" t="s">
        <v>127</v>
      </c>
      <c r="B24" s="636"/>
      <c r="C24" s="338"/>
      <c r="D24" s="646"/>
      <c r="E24" s="281"/>
      <c r="F24" s="282"/>
      <c r="G24" s="282"/>
      <c r="H24" s="283"/>
    </row>
    <row r="25" spans="1:8" s="117" customFormat="1" ht="15">
      <c r="A25" s="116" t="s">
        <v>233</v>
      </c>
      <c r="B25" s="636"/>
      <c r="C25" s="339"/>
      <c r="D25" s="646"/>
      <c r="E25" s="125"/>
      <c r="F25" s="126"/>
      <c r="G25" s="126"/>
      <c r="H25" s="127"/>
    </row>
    <row r="26" spans="1:8" s="117" customFormat="1" ht="15">
      <c r="A26" s="116" t="s">
        <v>304</v>
      </c>
      <c r="B26" s="636"/>
      <c r="C26" s="339"/>
      <c r="D26" s="646"/>
      <c r="E26" s="125"/>
      <c r="F26" s="126"/>
      <c r="G26" s="126"/>
      <c r="H26" s="127"/>
    </row>
    <row r="27" spans="1:8" s="117" customFormat="1" ht="15.75" thickBot="1">
      <c r="A27" s="124" t="s">
        <v>189</v>
      </c>
      <c r="B27" s="637"/>
      <c r="C27" s="594"/>
      <c r="D27" s="647"/>
      <c r="E27" s="595"/>
      <c r="F27" s="596"/>
      <c r="G27" s="596"/>
      <c r="H27" s="597"/>
    </row>
    <row r="28" spans="1:8" s="16" customFormat="1" ht="12" hidden="1" customHeight="1" thickBot="1">
      <c r="A28" s="22"/>
      <c r="B28" s="267"/>
      <c r="C28" s="267"/>
      <c r="D28" s="267"/>
      <c r="E28" s="267"/>
      <c r="F28" s="267"/>
      <c r="G28" s="267"/>
      <c r="H28" s="20"/>
    </row>
    <row r="29" spans="1:8" s="16" customFormat="1" ht="30.75" hidden="1" customHeight="1">
      <c r="A29" s="120" t="s">
        <v>267</v>
      </c>
      <c r="B29" s="121" t="s">
        <v>460</v>
      </c>
      <c r="C29" s="121" t="s">
        <v>461</v>
      </c>
      <c r="D29" s="121" t="s">
        <v>60</v>
      </c>
      <c r="E29" s="121" t="s">
        <v>61</v>
      </c>
      <c r="F29" s="121" t="s">
        <v>62</v>
      </c>
      <c r="G29" s="121" t="s">
        <v>176</v>
      </c>
      <c r="H29" s="631" t="s">
        <v>177</v>
      </c>
    </row>
    <row r="30" spans="1:8" s="117" customFormat="1" ht="15" hidden="1">
      <c r="A30" s="116" t="s">
        <v>268</v>
      </c>
      <c r="B30" s="632">
        <f>'Balance inicial'!I16</f>
        <v>0</v>
      </c>
      <c r="C30" s="638"/>
      <c r="D30" s="633">
        <f>B30</f>
        <v>0</v>
      </c>
      <c r="E30" s="633">
        <f t="shared" ref="E30:H31" si="0">D30</f>
        <v>0</v>
      </c>
      <c r="F30" s="633">
        <f t="shared" si="0"/>
        <v>0</v>
      </c>
      <c r="G30" s="633">
        <f t="shared" si="0"/>
        <v>0</v>
      </c>
      <c r="H30" s="634">
        <f t="shared" si="0"/>
        <v>0</v>
      </c>
    </row>
    <row r="31" spans="1:8" s="117" customFormat="1" ht="15.75" hidden="1" thickBot="1">
      <c r="A31" s="124" t="s">
        <v>174</v>
      </c>
      <c r="B31" s="614">
        <f>SUM('Balance inicial'!I26:I29)</f>
        <v>0</v>
      </c>
      <c r="C31" s="639"/>
      <c r="D31" s="656">
        <f>B31</f>
        <v>0</v>
      </c>
      <c r="E31" s="656">
        <f t="shared" si="0"/>
        <v>0</v>
      </c>
      <c r="F31" s="656">
        <f t="shared" si="0"/>
        <v>0</v>
      </c>
      <c r="G31" s="656">
        <f t="shared" si="0"/>
        <v>0</v>
      </c>
      <c r="H31" s="657">
        <f t="shared" si="0"/>
        <v>0</v>
      </c>
    </row>
    <row r="32" spans="1:8" s="16" customFormat="1" ht="8.25" customHeight="1">
      <c r="A32" s="22"/>
      <c r="B32" s="267"/>
      <c r="C32" s="267"/>
      <c r="D32" s="267"/>
      <c r="E32" s="267"/>
      <c r="F32" s="267"/>
      <c r="G32" s="267"/>
    </row>
    <row r="33" spans="1:8" s="16" customFormat="1" ht="27.75" customHeight="1">
      <c r="A33" s="73"/>
      <c r="B33" s="528"/>
      <c r="C33" s="73"/>
      <c r="D33" s="73"/>
      <c r="E33" s="267"/>
      <c r="F33" s="267"/>
    </row>
    <row r="34" spans="1:8" s="16" customFormat="1" ht="27.75" customHeight="1">
      <c r="A34" s="610" t="s">
        <v>395</v>
      </c>
      <c r="B34" s="610"/>
      <c r="C34" s="610"/>
      <c r="D34" s="610"/>
      <c r="E34" s="610"/>
      <c r="F34" s="610"/>
      <c r="G34" s="610"/>
      <c r="H34" s="610"/>
    </row>
    <row r="35" spans="1:8" s="16" customFormat="1" ht="27.75" customHeight="1">
      <c r="A35" s="627" t="s">
        <v>468</v>
      </c>
      <c r="B35" s="627"/>
      <c r="C35" s="627"/>
      <c r="D35" s="627"/>
      <c r="E35" s="627"/>
      <c r="F35" s="627"/>
      <c r="G35" s="627"/>
      <c r="H35" s="627"/>
    </row>
    <row r="36" spans="1:8" s="16" customFormat="1" ht="27.75" customHeight="1">
      <c r="A36" s="22"/>
      <c r="B36" s="267"/>
      <c r="C36" s="267"/>
      <c r="D36" s="267"/>
      <c r="E36" s="267"/>
      <c r="F36" s="267"/>
    </row>
    <row r="37" spans="1:8" s="16" customFormat="1" ht="27.75" customHeight="1">
      <c r="A37" s="22"/>
      <c r="B37" s="267"/>
      <c r="C37" s="267"/>
      <c r="D37" s="267"/>
      <c r="E37" s="267"/>
      <c r="F37" s="267"/>
    </row>
    <row r="38" spans="1:8" s="16" customFormat="1" ht="27.75" customHeight="1">
      <c r="A38" s="22"/>
      <c r="B38" s="267"/>
      <c r="C38" s="267"/>
      <c r="D38" s="267"/>
      <c r="E38" s="267"/>
      <c r="F38" s="267"/>
    </row>
    <row r="39" spans="1:8" s="16" customFormat="1" ht="27.75" customHeight="1">
      <c r="A39" s="22"/>
      <c r="B39" s="267"/>
      <c r="C39" s="267"/>
      <c r="D39" s="267"/>
      <c r="E39" s="267"/>
      <c r="F39" s="267"/>
    </row>
    <row r="40" spans="1:8" s="16" customFormat="1" ht="27.75" customHeight="1">
      <c r="A40" s="22"/>
      <c r="B40" s="267"/>
      <c r="C40" s="267"/>
      <c r="D40" s="267"/>
      <c r="E40" s="267"/>
      <c r="F40" s="267"/>
    </row>
    <row r="41" spans="1:8" s="16" customFormat="1" ht="27.75" customHeight="1">
      <c r="A41" s="22"/>
      <c r="B41" s="267"/>
      <c r="C41" s="267"/>
      <c r="D41" s="267"/>
      <c r="E41" s="267"/>
      <c r="F41" s="267"/>
    </row>
    <row r="42" spans="1:8" s="16" customFormat="1" ht="27.75" customHeight="1">
      <c r="A42" s="22"/>
      <c r="B42" s="267"/>
      <c r="C42" s="267"/>
      <c r="D42" s="267"/>
      <c r="E42" s="267"/>
      <c r="F42" s="267"/>
    </row>
    <row r="43" spans="1:8" s="16" customFormat="1" ht="27.75" customHeight="1">
      <c r="A43" s="22"/>
      <c r="B43" s="267"/>
      <c r="C43" s="267"/>
      <c r="D43" s="267"/>
      <c r="E43" s="267"/>
      <c r="F43" s="267"/>
    </row>
    <row r="44" spans="1:8" s="16" customFormat="1" ht="27.75" customHeight="1">
      <c r="A44" s="22"/>
      <c r="B44" s="267"/>
      <c r="C44" s="267"/>
      <c r="D44" s="267"/>
      <c r="E44" s="267"/>
      <c r="F44" s="267"/>
    </row>
    <row r="45" spans="1:8" s="16" customFormat="1" ht="27.75" customHeight="1">
      <c r="A45" s="22"/>
      <c r="B45" s="267"/>
      <c r="C45" s="267"/>
      <c r="D45" s="267"/>
      <c r="E45" s="267"/>
      <c r="F45" s="267"/>
    </row>
    <row r="46" spans="1:8" s="16" customFormat="1" ht="27.75" customHeight="1">
      <c r="A46" s="22"/>
      <c r="B46" s="267"/>
      <c r="C46" s="267"/>
      <c r="D46" s="267"/>
      <c r="E46" s="267"/>
      <c r="F46" s="267"/>
    </row>
    <row r="47" spans="1:8" s="16" customFormat="1" ht="27.75" customHeight="1">
      <c r="A47" s="22"/>
      <c r="B47" s="267"/>
      <c r="C47" s="267"/>
      <c r="D47" s="267"/>
      <c r="E47" s="267"/>
      <c r="F47" s="267"/>
    </row>
    <row r="48" spans="1:8" s="16" customFormat="1" ht="27.75" customHeight="1">
      <c r="A48" s="22"/>
      <c r="B48" s="267"/>
      <c r="C48" s="267"/>
      <c r="D48" s="267"/>
      <c r="E48" s="267"/>
      <c r="F48" s="267"/>
    </row>
    <row r="49" spans="1:6" s="16" customFormat="1" ht="27.75" customHeight="1">
      <c r="A49" s="22"/>
      <c r="B49" s="267"/>
      <c r="C49" s="267"/>
      <c r="D49" s="267"/>
      <c r="E49" s="267"/>
      <c r="F49" s="267"/>
    </row>
    <row r="50" spans="1:6" s="16" customFormat="1" ht="27.75" customHeight="1">
      <c r="A50" s="22"/>
      <c r="B50" s="267"/>
      <c r="C50" s="267"/>
      <c r="D50" s="267"/>
      <c r="E50" s="267"/>
      <c r="F50" s="267"/>
    </row>
    <row r="51" spans="1:6" s="16" customFormat="1" ht="27.75" customHeight="1">
      <c r="A51" s="22"/>
      <c r="B51" s="267"/>
      <c r="C51" s="267"/>
      <c r="D51" s="267"/>
      <c r="E51" s="267"/>
      <c r="F51" s="267"/>
    </row>
    <row r="52" spans="1:6" s="16" customFormat="1" ht="27.75" customHeight="1">
      <c r="A52" s="22"/>
      <c r="B52" s="267"/>
      <c r="C52" s="267"/>
      <c r="D52" s="267"/>
      <c r="E52" s="267"/>
      <c r="F52" s="267"/>
    </row>
    <row r="53" spans="1:6" s="16" customFormat="1" ht="27.75" customHeight="1">
      <c r="A53" s="22"/>
      <c r="B53" s="267"/>
      <c r="C53" s="267"/>
      <c r="D53" s="267"/>
      <c r="E53" s="267"/>
      <c r="F53" s="267"/>
    </row>
    <row r="54" spans="1:6" s="16" customFormat="1" ht="27.75" customHeight="1">
      <c r="A54" s="22"/>
      <c r="B54" s="267"/>
      <c r="C54" s="267"/>
      <c r="D54" s="267"/>
      <c r="E54" s="267"/>
      <c r="F54" s="267"/>
    </row>
    <row r="55" spans="1:6" s="16" customFormat="1" ht="27.75" customHeight="1">
      <c r="A55" s="22"/>
      <c r="B55" s="267"/>
      <c r="C55" s="267"/>
      <c r="D55" s="267"/>
      <c r="E55" s="267"/>
      <c r="F55" s="267"/>
    </row>
    <row r="56" spans="1:6" s="16" customFormat="1" ht="27.75" customHeight="1">
      <c r="A56" s="22"/>
      <c r="B56" s="267"/>
      <c r="C56" s="267"/>
      <c r="D56" s="267"/>
      <c r="E56" s="267"/>
      <c r="F56" s="267"/>
    </row>
    <row r="57" spans="1:6" s="16" customFormat="1" ht="27.75" customHeight="1">
      <c r="A57" s="22"/>
      <c r="B57" s="267"/>
      <c r="C57" s="267"/>
      <c r="D57" s="267"/>
      <c r="E57" s="267"/>
      <c r="F57" s="267"/>
    </row>
    <row r="58" spans="1:6" s="16" customFormat="1" ht="27.75" customHeight="1">
      <c r="A58" s="22"/>
      <c r="B58" s="267"/>
      <c r="C58" s="267"/>
      <c r="D58" s="267"/>
      <c r="E58" s="267"/>
      <c r="F58" s="267"/>
    </row>
    <row r="59" spans="1:6" s="16" customFormat="1" ht="27.75" customHeight="1">
      <c r="A59" s="22"/>
      <c r="B59" s="267"/>
      <c r="C59" s="267"/>
      <c r="D59" s="267"/>
      <c r="E59" s="267"/>
      <c r="F59" s="267"/>
    </row>
    <row r="60" spans="1:6" s="16" customFormat="1" ht="27.75" customHeight="1">
      <c r="A60" s="22"/>
      <c r="B60" s="267"/>
      <c r="C60" s="267"/>
      <c r="D60" s="267"/>
      <c r="E60" s="267"/>
      <c r="F60" s="267"/>
    </row>
    <row r="61" spans="1:6" s="16" customFormat="1" ht="27.75" customHeight="1">
      <c r="A61" s="22"/>
      <c r="B61" s="267"/>
      <c r="C61" s="267"/>
      <c r="D61" s="267"/>
      <c r="E61" s="267"/>
      <c r="F61" s="267"/>
    </row>
    <row r="62" spans="1:6" s="16" customFormat="1" ht="27.75" customHeight="1">
      <c r="A62" s="22"/>
      <c r="B62" s="267"/>
      <c r="C62" s="267"/>
      <c r="D62" s="267"/>
      <c r="E62" s="267"/>
      <c r="F62" s="267"/>
    </row>
    <row r="63" spans="1:6" s="16" customFormat="1" ht="15" customHeight="1">
      <c r="A63" s="17"/>
      <c r="B63" s="18"/>
      <c r="C63" s="22"/>
      <c r="D63" s="22"/>
      <c r="E63" s="23"/>
    </row>
    <row r="64" spans="1:6" s="25" customFormat="1" ht="20.25" customHeight="1">
      <c r="A64" s="24"/>
      <c r="B64" s="24"/>
    </row>
    <row r="65" spans="1:13" s="16" customFormat="1" ht="16.5"/>
    <row r="66" spans="1:13" s="16" customFormat="1" ht="16.5"/>
    <row r="67" spans="1:13" s="16" customFormat="1" ht="288">
      <c r="A67" s="128" t="s">
        <v>60</v>
      </c>
      <c r="B67" s="129" t="s">
        <v>4</v>
      </c>
      <c r="C67" s="129" t="s">
        <v>5</v>
      </c>
      <c r="D67" s="129" t="s">
        <v>190</v>
      </c>
      <c r="E67" s="129" t="s">
        <v>6</v>
      </c>
      <c r="F67" s="130" t="s">
        <v>7</v>
      </c>
      <c r="H67" s="128" t="s">
        <v>60</v>
      </c>
      <c r="I67" s="129" t="s">
        <v>4</v>
      </c>
      <c r="J67" s="129" t="s">
        <v>5</v>
      </c>
      <c r="K67" s="129" t="s">
        <v>190</v>
      </c>
      <c r="L67" s="129" t="s">
        <v>6</v>
      </c>
      <c r="M67" s="130" t="s">
        <v>7</v>
      </c>
    </row>
    <row r="68" spans="1:13" s="16" customFormat="1" ht="19.5" customHeight="1">
      <c r="A68" s="26" t="s">
        <v>8</v>
      </c>
      <c r="B68" s="18">
        <f>IF($C$16&lt;1,0,IF($C$19&gt;=1,C68,PMT($C$17/4,($C$18-$C$19)*4,-$C$16)))</f>
        <v>0</v>
      </c>
      <c r="C68" s="18">
        <f>$C$16*$C$17/4</f>
        <v>0</v>
      </c>
      <c r="D68" s="18">
        <f>+B68-C68</f>
        <v>0</v>
      </c>
      <c r="E68" s="18">
        <f>$C$16-D68</f>
        <v>0</v>
      </c>
      <c r="F68" s="21">
        <f>D68</f>
        <v>0</v>
      </c>
      <c r="H68" s="26" t="s">
        <v>8</v>
      </c>
      <c r="I68" s="18">
        <f>IF($C$23&lt;1,0,IF($C$26&gt;=1,J68,PMT($C$24/4,($C$25-$C$26)*4,-$C$23)))</f>
        <v>0</v>
      </c>
      <c r="J68" s="18">
        <f>$C$23*$C$24/4</f>
        <v>0</v>
      </c>
      <c r="K68" s="18">
        <f>+I68-J68</f>
        <v>0</v>
      </c>
      <c r="L68" s="18">
        <f>$C$23-K68</f>
        <v>0</v>
      </c>
      <c r="M68" s="21">
        <f>K68</f>
        <v>0</v>
      </c>
    </row>
    <row r="69" spans="1:13" s="27" customFormat="1" ht="19.5" customHeight="1">
      <c r="A69" s="26" t="s">
        <v>9</v>
      </c>
      <c r="B69" s="18">
        <f>IF($C$16&lt;1,0,IF($C$19&gt;=1,C69,PMT($C$17/4,($C$18-$C$19)*4,-$C$16)))</f>
        <v>0</v>
      </c>
      <c r="C69" s="18">
        <f>E68*$C$17/4</f>
        <v>0</v>
      </c>
      <c r="D69" s="18">
        <f>+B69-C69</f>
        <v>0</v>
      </c>
      <c r="E69" s="18">
        <f>E68-D69</f>
        <v>0</v>
      </c>
      <c r="F69" s="21">
        <f>F68+D69</f>
        <v>0</v>
      </c>
      <c r="H69" s="26" t="s">
        <v>9</v>
      </c>
      <c r="I69" s="18">
        <f>IF($C$23&lt;1,0,IF($C$26&gt;=1,J69,PMT($C$24/4,($C$25-$C$26)*4,-$C$23)))</f>
        <v>0</v>
      </c>
      <c r="J69" s="18">
        <f>L68*$C$24/4</f>
        <v>0</v>
      </c>
      <c r="K69" s="18">
        <f>+I69-J69</f>
        <v>0</v>
      </c>
      <c r="L69" s="18">
        <f>L68-K69</f>
        <v>0</v>
      </c>
      <c r="M69" s="21">
        <f>M68+K69</f>
        <v>0</v>
      </c>
    </row>
    <row r="70" spans="1:13" s="16" customFormat="1" ht="19.5" customHeight="1">
      <c r="A70" s="26" t="s">
        <v>10</v>
      </c>
      <c r="B70" s="18">
        <f>IF($C$16&lt;1,0,IF($C$19&gt;=1,C70,PMT($C$17/4,($C$18-$C$19)*4,-$C$16)))</f>
        <v>0</v>
      </c>
      <c r="C70" s="18">
        <f>E69*$C$17/4</f>
        <v>0</v>
      </c>
      <c r="D70" s="18">
        <f>+B70-C70</f>
        <v>0</v>
      </c>
      <c r="E70" s="18">
        <f>E69-D70</f>
        <v>0</v>
      </c>
      <c r="F70" s="21">
        <f>F69+D70</f>
        <v>0</v>
      </c>
      <c r="H70" s="26" t="s">
        <v>10</v>
      </c>
      <c r="I70" s="18">
        <f>IF($C$23&lt;1,0,IF($C$26&gt;=1,J70,PMT($C$24/4,($C$25-$C$26)*4,-$C$23)))</f>
        <v>0</v>
      </c>
      <c r="J70" s="18">
        <f>L69*$C$24/4</f>
        <v>0</v>
      </c>
      <c r="K70" s="18">
        <f>+I70-J70</f>
        <v>0</v>
      </c>
      <c r="L70" s="18">
        <f>L69-K70</f>
        <v>0</v>
      </c>
      <c r="M70" s="21">
        <f>M69+K70</f>
        <v>0</v>
      </c>
    </row>
    <row r="71" spans="1:13" s="16" customFormat="1" ht="19.5" customHeight="1">
      <c r="A71" s="26" t="s">
        <v>11</v>
      </c>
      <c r="B71" s="18">
        <f>IF($C$16&lt;1,0,IF($C$19&gt;=1,C71,PMT($C$17/4,($C$18-$C$19)*4,-$C$16)))</f>
        <v>0</v>
      </c>
      <c r="C71" s="18">
        <f>E70*$C$17/4</f>
        <v>0</v>
      </c>
      <c r="D71" s="18">
        <f>+B71-C71</f>
        <v>0</v>
      </c>
      <c r="E71" s="18">
        <f>E70-D71</f>
        <v>0</v>
      </c>
      <c r="F71" s="21">
        <f>F70+D71</f>
        <v>0</v>
      </c>
      <c r="H71" s="26" t="s">
        <v>11</v>
      </c>
      <c r="I71" s="18">
        <f>IF($C$23&lt;1,0,IF($C$26&gt;=1,J71,PMT($C$24/4,($C$25-$C$26)*4,-$C$23)))</f>
        <v>0</v>
      </c>
      <c r="J71" s="18">
        <f>L70*$C$24/4</f>
        <v>0</v>
      </c>
      <c r="K71" s="18">
        <f>+I71-J71</f>
        <v>0</v>
      </c>
      <c r="L71" s="18">
        <f>L70-K71</f>
        <v>0</v>
      </c>
      <c r="M71" s="21">
        <f>M70+K71</f>
        <v>0</v>
      </c>
    </row>
    <row r="72" spans="1:13" s="16" customFormat="1" ht="19.5" customHeight="1">
      <c r="A72" s="28" t="s">
        <v>12</v>
      </c>
      <c r="B72" s="29">
        <f>SUM(B68:B71)</f>
        <v>0</v>
      </c>
      <c r="C72" s="29">
        <f>SUM(C68:C71)</f>
        <v>0</v>
      </c>
      <c r="D72" s="29">
        <f>SUM(D68:D71)</f>
        <v>0</v>
      </c>
      <c r="E72" s="29"/>
      <c r="F72" s="30"/>
      <c r="H72" s="28" t="s">
        <v>12</v>
      </c>
      <c r="I72" s="29">
        <f>SUM(I68:I71)</f>
        <v>0</v>
      </c>
      <c r="J72" s="29">
        <f>SUM(J68:J71)</f>
        <v>0</v>
      </c>
      <c r="K72" s="29">
        <f>SUM(K68:K71)</f>
        <v>0</v>
      </c>
      <c r="L72" s="29"/>
      <c r="M72" s="30"/>
    </row>
    <row r="73" spans="1:13" s="16" customFormat="1" ht="19.5" customHeight="1">
      <c r="A73" s="26" t="s">
        <v>13</v>
      </c>
      <c r="B73" s="18">
        <f>IF($C$16&lt;1,0,IF($C$19&gt;=2,C73,PMT($C$17/4,($C$18-$C$19)*4,-$C$16)))</f>
        <v>0</v>
      </c>
      <c r="C73" s="18">
        <f>E71*$C$17/4</f>
        <v>0</v>
      </c>
      <c r="D73" s="18">
        <f>+B73-C73</f>
        <v>0</v>
      </c>
      <c r="E73" s="18">
        <f>+E71-D73</f>
        <v>0</v>
      </c>
      <c r="F73" s="21">
        <f>+F71+D73</f>
        <v>0</v>
      </c>
      <c r="H73" s="26" t="s">
        <v>13</v>
      </c>
      <c r="I73" s="18">
        <f>IF($C$23&lt;1,0,IF($C$26&gt;=2,J73,PMT($C$24/4,($C$25-$C$26)*4,-$C$23)))</f>
        <v>0</v>
      </c>
      <c r="J73" s="18">
        <f>L71*$C$24/4</f>
        <v>0</v>
      </c>
      <c r="K73" s="18">
        <f>+I73-J73</f>
        <v>0</v>
      </c>
      <c r="L73" s="18">
        <f>+L71-K73</f>
        <v>0</v>
      </c>
      <c r="M73" s="21">
        <f>+M71+K73</f>
        <v>0</v>
      </c>
    </row>
    <row r="74" spans="1:13" s="27" customFormat="1" ht="19.5" customHeight="1">
      <c r="A74" s="26" t="s">
        <v>14</v>
      </c>
      <c r="B74" s="18">
        <f>IF($C$16&lt;1,0,IF($C$19&gt;=2,C74,PMT($C$17/4,($C$18-$C$19)*4,-$C$16)))</f>
        <v>0</v>
      </c>
      <c r="C74" s="18">
        <f>+E73*$C$17/4</f>
        <v>0</v>
      </c>
      <c r="D74" s="18">
        <f>+B74-C74</f>
        <v>0</v>
      </c>
      <c r="E74" s="18">
        <f>+E73-D74</f>
        <v>0</v>
      </c>
      <c r="F74" s="21">
        <f>+F73+D74</f>
        <v>0</v>
      </c>
      <c r="H74" s="26" t="s">
        <v>14</v>
      </c>
      <c r="I74" s="18">
        <f>IF($C$23&lt;1,0,IF($C$26&gt;=2,J74,PMT($C$24/4,($C$25-$C$26)*4,-$C$23)))</f>
        <v>0</v>
      </c>
      <c r="J74" s="18">
        <f>+L73*$C$24/4</f>
        <v>0</v>
      </c>
      <c r="K74" s="18">
        <f>+I74-J74</f>
        <v>0</v>
      </c>
      <c r="L74" s="18">
        <f>+L73-K74</f>
        <v>0</v>
      </c>
      <c r="M74" s="21">
        <f>+M73+K74</f>
        <v>0</v>
      </c>
    </row>
    <row r="75" spans="1:13" s="16" customFormat="1" ht="19.5" customHeight="1">
      <c r="A75" s="26" t="s">
        <v>15</v>
      </c>
      <c r="B75" s="18">
        <f>IF($C$16&lt;1,0,IF($C$19&gt;=2,C75,PMT($C$17/4,($C$18-$C$19)*4,-$C$16)))</f>
        <v>0</v>
      </c>
      <c r="C75" s="18">
        <f>+E74*$C$17/4</f>
        <v>0</v>
      </c>
      <c r="D75" s="18">
        <f>+B75-C75</f>
        <v>0</v>
      </c>
      <c r="E75" s="18">
        <f>+E74-D75</f>
        <v>0</v>
      </c>
      <c r="F75" s="21">
        <f>+F74+D75</f>
        <v>0</v>
      </c>
      <c r="H75" s="26" t="s">
        <v>15</v>
      </c>
      <c r="I75" s="18">
        <f>IF($C$23&lt;1,0,IF($C$26&gt;=2,J75,PMT($C$24/4,($C$25-$C$26)*4,-$C$23)))</f>
        <v>0</v>
      </c>
      <c r="J75" s="18">
        <f>+L74*$C$24/4</f>
        <v>0</v>
      </c>
      <c r="K75" s="18">
        <f>+I75-J75</f>
        <v>0</v>
      </c>
      <c r="L75" s="18">
        <f>+L74-K75</f>
        <v>0</v>
      </c>
      <c r="M75" s="21">
        <f>+M74+K75</f>
        <v>0</v>
      </c>
    </row>
    <row r="76" spans="1:13" s="16" customFormat="1" ht="19.5" customHeight="1">
      <c r="A76" s="26" t="s">
        <v>16</v>
      </c>
      <c r="B76" s="18">
        <f>IF($C$16&lt;1,0,IF($C$19&gt;=2,C76,PMT($C$17/4,($C$18-$C$19)*4,-$C$16)))</f>
        <v>0</v>
      </c>
      <c r="C76" s="18">
        <f>+E75*$C$17/4</f>
        <v>0</v>
      </c>
      <c r="D76" s="18">
        <f>+B76-C76</f>
        <v>0</v>
      </c>
      <c r="E76" s="18">
        <f>+E75-D76</f>
        <v>0</v>
      </c>
      <c r="F76" s="21">
        <f>+F75+D76</f>
        <v>0</v>
      </c>
      <c r="H76" s="26" t="s">
        <v>16</v>
      </c>
      <c r="I76" s="18">
        <f>IF($C$23&lt;1,0,IF($C$26&gt;=2,J76,PMT($C$24/4,($C$25-$C$26)*4,-$C$23)))</f>
        <v>0</v>
      </c>
      <c r="J76" s="18">
        <f>+L75*$C$24/4</f>
        <v>0</v>
      </c>
      <c r="K76" s="18">
        <f>+I76-J76</f>
        <v>0</v>
      </c>
      <c r="L76" s="18">
        <f>+L75-K76</f>
        <v>0</v>
      </c>
      <c r="M76" s="21">
        <f>+M75+K76</f>
        <v>0</v>
      </c>
    </row>
    <row r="77" spans="1:13" s="16" customFormat="1" ht="19.5" customHeight="1">
      <c r="A77" s="28" t="s">
        <v>17</v>
      </c>
      <c r="B77" s="29">
        <f>SUM(B73:B76)</f>
        <v>0</v>
      </c>
      <c r="C77" s="29">
        <f>SUM(C73:C76)</f>
        <v>0</v>
      </c>
      <c r="D77" s="29">
        <f>SUM(D73:D76)</f>
        <v>0</v>
      </c>
      <c r="E77" s="29"/>
      <c r="F77" s="30"/>
      <c r="H77" s="28" t="s">
        <v>17</v>
      </c>
      <c r="I77" s="29">
        <f>SUM(I73:I76)</f>
        <v>0</v>
      </c>
      <c r="J77" s="29">
        <f>SUM(J73:J76)</f>
        <v>0</v>
      </c>
      <c r="K77" s="29">
        <f>SUM(K73:K76)</f>
        <v>0</v>
      </c>
      <c r="L77" s="29"/>
      <c r="M77" s="30"/>
    </row>
    <row r="78" spans="1:13" s="16" customFormat="1" ht="19.5" customHeight="1">
      <c r="A78" s="26" t="s">
        <v>18</v>
      </c>
      <c r="B78" s="18">
        <f>IF($C$16&lt;1,0,IF($C$18&lt;3,0,PMT($C$17/4,($C$18-$C$19)*4,-$C$16)))</f>
        <v>0</v>
      </c>
      <c r="C78" s="18">
        <f>E76*$C$17/4</f>
        <v>0</v>
      </c>
      <c r="D78" s="18">
        <f>+B78-C78</f>
        <v>0</v>
      </c>
      <c r="E78" s="18">
        <f>+E76-D78</f>
        <v>0</v>
      </c>
      <c r="F78" s="21">
        <f>+F76+D78</f>
        <v>0</v>
      </c>
      <c r="H78" s="26" t="s">
        <v>18</v>
      </c>
      <c r="I78" s="18">
        <f>IF($C$23&lt;1,0,IF($C$25&lt;3,0,PMT($C$24/4,($C$25-$C$26)*4,-$C$23)))</f>
        <v>0</v>
      </c>
      <c r="J78" s="18">
        <f>L76*$C$24/4</f>
        <v>0</v>
      </c>
      <c r="K78" s="18">
        <f>+I78-J78</f>
        <v>0</v>
      </c>
      <c r="L78" s="18">
        <f>+L76-K78</f>
        <v>0</v>
      </c>
      <c r="M78" s="21">
        <f>+M76+K78</f>
        <v>0</v>
      </c>
    </row>
    <row r="79" spans="1:13" s="27" customFormat="1" ht="19.5" customHeight="1">
      <c r="A79" s="26" t="s">
        <v>19</v>
      </c>
      <c r="B79" s="18">
        <f>IF($C$16&lt;1,0,IF($C$18&lt;3,0,PMT($C$17/4,($C$18-$C$19)*4,-$C$16)))</f>
        <v>0</v>
      </c>
      <c r="C79" s="18">
        <f>+E78*$C$17/4</f>
        <v>0</v>
      </c>
      <c r="D79" s="18">
        <f>+B79-C79</f>
        <v>0</v>
      </c>
      <c r="E79" s="18">
        <f>+E78-D79</f>
        <v>0</v>
      </c>
      <c r="F79" s="21">
        <f>+F78+D79</f>
        <v>0</v>
      </c>
      <c r="H79" s="26" t="s">
        <v>19</v>
      </c>
      <c r="I79" s="18">
        <f>IF($C$23&lt;1,0,IF($C$25&lt;3,0,PMT($C$24/4,($C$25-$C$26)*4,-$C$23)))</f>
        <v>0</v>
      </c>
      <c r="J79" s="18">
        <f>+L78*$C$24/4</f>
        <v>0</v>
      </c>
      <c r="K79" s="18">
        <f>+I79-J79</f>
        <v>0</v>
      </c>
      <c r="L79" s="18">
        <f>+L78-K79</f>
        <v>0</v>
      </c>
      <c r="M79" s="21">
        <f>+M78+K79</f>
        <v>0</v>
      </c>
    </row>
    <row r="80" spans="1:13" s="16" customFormat="1" ht="19.5" customHeight="1">
      <c r="A80" s="26" t="s">
        <v>20</v>
      </c>
      <c r="B80" s="18">
        <f>IF($C$16&lt;1,0,IF($C$18&lt;3,0,PMT($C$17/4,($C$18-$C$19)*4,-$C$16)))</f>
        <v>0</v>
      </c>
      <c r="C80" s="18">
        <f>+E79*$C$17/4</f>
        <v>0</v>
      </c>
      <c r="D80" s="18">
        <f>+B80-C80</f>
        <v>0</v>
      </c>
      <c r="E80" s="18">
        <f>+E79-D80</f>
        <v>0</v>
      </c>
      <c r="F80" s="21">
        <f>+F79+D80</f>
        <v>0</v>
      </c>
      <c r="H80" s="26" t="s">
        <v>20</v>
      </c>
      <c r="I80" s="18">
        <f>IF($C$23&lt;1,0,IF($C$25&lt;3,0,PMT($C$24/4,($C$25-$C$26)*4,-$C$23)))</f>
        <v>0</v>
      </c>
      <c r="J80" s="18">
        <f>+L79*$C$24/4</f>
        <v>0</v>
      </c>
      <c r="K80" s="18">
        <f>+I80-J80</f>
        <v>0</v>
      </c>
      <c r="L80" s="18">
        <f>+L79-K80</f>
        <v>0</v>
      </c>
      <c r="M80" s="21">
        <f>+M79+K80</f>
        <v>0</v>
      </c>
    </row>
    <row r="81" spans="1:13" s="16" customFormat="1" ht="19.5" customHeight="1">
      <c r="A81" s="26" t="s">
        <v>21</v>
      </c>
      <c r="B81" s="18">
        <f>IF($C$16&lt;1,0,IF($C$18&lt;3,0,PMT($C$17/4,($C$18-$C$19)*4,-$C$16)))</f>
        <v>0</v>
      </c>
      <c r="C81" s="18">
        <f>+E80*$C$17/4</f>
        <v>0</v>
      </c>
      <c r="D81" s="18">
        <f>+B81-C81</f>
        <v>0</v>
      </c>
      <c r="E81" s="18">
        <f>+E80-D81</f>
        <v>0</v>
      </c>
      <c r="F81" s="21">
        <f>+F80+D81</f>
        <v>0</v>
      </c>
      <c r="H81" s="26" t="s">
        <v>21</v>
      </c>
      <c r="I81" s="18">
        <f>IF($C$23&lt;1,0,IF($C$25&lt;3,0,PMT($C$24/4,($C$25-$C$26)*4,-$C$23)))</f>
        <v>0</v>
      </c>
      <c r="J81" s="18">
        <f>+L80*$C$24/4</f>
        <v>0</v>
      </c>
      <c r="K81" s="18">
        <f>+I81-J81</f>
        <v>0</v>
      </c>
      <c r="L81" s="18">
        <f>+L80-K81</f>
        <v>0</v>
      </c>
      <c r="M81" s="21">
        <f>+M80+K81</f>
        <v>0</v>
      </c>
    </row>
    <row r="82" spans="1:13" s="16" customFormat="1" ht="19.5" customHeight="1">
      <c r="A82" s="28" t="s">
        <v>22</v>
      </c>
      <c r="B82" s="29">
        <f>SUM(B78:B81)</f>
        <v>0</v>
      </c>
      <c r="C82" s="29">
        <f>SUM(C78:C81)</f>
        <v>0</v>
      </c>
      <c r="D82" s="29">
        <f>SUM(D78:D81)</f>
        <v>0</v>
      </c>
      <c r="E82" s="29"/>
      <c r="F82" s="30"/>
      <c r="H82" s="28" t="s">
        <v>22</v>
      </c>
      <c r="I82" s="29">
        <f>SUM(I78:I81)</f>
        <v>0</v>
      </c>
      <c r="J82" s="29">
        <f>SUM(J78:J81)</f>
        <v>0</v>
      </c>
      <c r="K82" s="29">
        <f>SUM(K78:K81)</f>
        <v>0</v>
      </c>
      <c r="L82" s="29"/>
      <c r="M82" s="30"/>
    </row>
    <row r="83" spans="1:13" s="16" customFormat="1" ht="19.5" customHeight="1">
      <c r="A83" s="26" t="s">
        <v>23</v>
      </c>
      <c r="B83" s="18">
        <f>IF($C$16&lt;1,0,IF($C$18&lt;4,0,PMT($C$17/4,($C$18-$C$19)*4,-$C$16)))</f>
        <v>0</v>
      </c>
      <c r="C83" s="18">
        <f>E81*$C$17/4</f>
        <v>0</v>
      </c>
      <c r="D83" s="18">
        <f>+B83-C83</f>
        <v>0</v>
      </c>
      <c r="E83" s="18">
        <f>+E81-D83</f>
        <v>0</v>
      </c>
      <c r="F83" s="21">
        <f>+F81+D83</f>
        <v>0</v>
      </c>
      <c r="H83" s="26" t="s">
        <v>23</v>
      </c>
      <c r="I83" s="18">
        <f>IF($C$23&lt;1,0,IF($C$25&lt;4,0,PMT($C$24/4,($C$25-$C$26)*4,-$C$23)))</f>
        <v>0</v>
      </c>
      <c r="J83" s="18">
        <f>L81*$C$24/4</f>
        <v>0</v>
      </c>
      <c r="K83" s="18">
        <f>+I83-J83</f>
        <v>0</v>
      </c>
      <c r="L83" s="18">
        <f>+L81-K83</f>
        <v>0</v>
      </c>
      <c r="M83" s="21">
        <f>+M81+K83</f>
        <v>0</v>
      </c>
    </row>
    <row r="84" spans="1:13" s="27" customFormat="1" ht="19.5" customHeight="1">
      <c r="A84" s="26" t="s">
        <v>24</v>
      </c>
      <c r="B84" s="18">
        <f>IF($C$16&lt;1,0,IF($C$18&lt;4,0,PMT($C$17/4,($C$18-$C$19)*4,-$C$16)))</f>
        <v>0</v>
      </c>
      <c r="C84" s="18">
        <f>+E83*$C$17/4</f>
        <v>0</v>
      </c>
      <c r="D84" s="18">
        <f>+B84-C84</f>
        <v>0</v>
      </c>
      <c r="E84" s="18">
        <f>+E83-D84</f>
        <v>0</v>
      </c>
      <c r="F84" s="21">
        <f>+F83+D84</f>
        <v>0</v>
      </c>
      <c r="H84" s="26" t="s">
        <v>24</v>
      </c>
      <c r="I84" s="18">
        <f>IF($C$23&lt;1,0,IF($C$25&lt;4,0,PMT($C$24/4,($C$25-$C$26)*4,-$C$23)))</f>
        <v>0</v>
      </c>
      <c r="J84" s="18">
        <f>+L83*$C$24/4</f>
        <v>0</v>
      </c>
      <c r="K84" s="18">
        <f>+I84-J84</f>
        <v>0</v>
      </c>
      <c r="L84" s="18">
        <f>+L83-K84</f>
        <v>0</v>
      </c>
      <c r="M84" s="21">
        <f>+M83+K84</f>
        <v>0</v>
      </c>
    </row>
    <row r="85" spans="1:13" s="16" customFormat="1" ht="19.5" customHeight="1">
      <c r="A85" s="26" t="s">
        <v>25</v>
      </c>
      <c r="B85" s="18">
        <f>IF($C$16&lt;1,0,IF($C$18&lt;4,0,PMT($C$17/4,($C$18-$C$19)*4,-$C$16)))</f>
        <v>0</v>
      </c>
      <c r="C85" s="18">
        <f>+E84*$C$17/4</f>
        <v>0</v>
      </c>
      <c r="D85" s="18">
        <f>+B85-C85</f>
        <v>0</v>
      </c>
      <c r="E85" s="18">
        <f>+E84-D85</f>
        <v>0</v>
      </c>
      <c r="F85" s="21">
        <f>+F84+D85</f>
        <v>0</v>
      </c>
      <c r="H85" s="26" t="s">
        <v>25</v>
      </c>
      <c r="I85" s="18">
        <f>IF($C$23&lt;1,0,IF($C$25&lt;4,0,PMT($C$24/4,($C$25-$C$26)*4,-$C$23)))</f>
        <v>0</v>
      </c>
      <c r="J85" s="18">
        <f>+L84*$C$24/4</f>
        <v>0</v>
      </c>
      <c r="K85" s="18">
        <f>+I85-J85</f>
        <v>0</v>
      </c>
      <c r="L85" s="18">
        <f>+L84-K85</f>
        <v>0</v>
      </c>
      <c r="M85" s="21">
        <f>+M84+K85</f>
        <v>0</v>
      </c>
    </row>
    <row r="86" spans="1:13" s="16" customFormat="1" ht="19.5" customHeight="1">
      <c r="A86" s="26" t="s">
        <v>26</v>
      </c>
      <c r="B86" s="18">
        <f>IF($C$16&lt;1,0,IF($C$18&lt;4,0,PMT($C$17/4,($C$18-$C$19)*4,-$C$16)))</f>
        <v>0</v>
      </c>
      <c r="C86" s="18">
        <f>+E85*$C$17/4</f>
        <v>0</v>
      </c>
      <c r="D86" s="18">
        <f>+B86-C86</f>
        <v>0</v>
      </c>
      <c r="E86" s="18">
        <f>+E85-D86</f>
        <v>0</v>
      </c>
      <c r="F86" s="21">
        <f>+F85+D86</f>
        <v>0</v>
      </c>
      <c r="H86" s="26" t="s">
        <v>26</v>
      </c>
      <c r="I86" s="18">
        <f>IF($C$23&lt;1,0,IF($C$25&lt;4,0,PMT($C$24/4,($C$25-$C$26)*4,-$C$23)))</f>
        <v>0</v>
      </c>
      <c r="J86" s="18">
        <f>+L85*$C$24/4</f>
        <v>0</v>
      </c>
      <c r="K86" s="18">
        <f>+I86-J86</f>
        <v>0</v>
      </c>
      <c r="L86" s="18">
        <f>+L85-K86</f>
        <v>0</v>
      </c>
      <c r="M86" s="21">
        <f>+M85+K86</f>
        <v>0</v>
      </c>
    </row>
    <row r="87" spans="1:13" s="16" customFormat="1" ht="19.5" customHeight="1">
      <c r="A87" s="28" t="s">
        <v>27</v>
      </c>
      <c r="B87" s="29">
        <f>SUM(B83:B86)</f>
        <v>0</v>
      </c>
      <c r="C87" s="29">
        <f>SUM(C83:C86)</f>
        <v>0</v>
      </c>
      <c r="D87" s="29">
        <f>SUM(D83:D86)</f>
        <v>0</v>
      </c>
      <c r="E87" s="29"/>
      <c r="F87" s="30"/>
      <c r="H87" s="28" t="s">
        <v>27</v>
      </c>
      <c r="I87" s="29">
        <f>SUM(I83:I86)</f>
        <v>0</v>
      </c>
      <c r="J87" s="29">
        <f>SUM(J83:J86)</f>
        <v>0</v>
      </c>
      <c r="K87" s="29">
        <f>SUM(K83:K86)</f>
        <v>0</v>
      </c>
      <c r="L87" s="29"/>
      <c r="M87" s="30"/>
    </row>
    <row r="88" spans="1:13" s="16" customFormat="1" ht="19.5" customHeight="1">
      <c r="A88" s="26" t="s">
        <v>28</v>
      </c>
      <c r="B88" s="18">
        <f>IF($C$16&lt;1,0,IF($C$18&lt;5,0,PMT($C$17/4,($C$18-$C$19)*4,-$C$16)))</f>
        <v>0</v>
      </c>
      <c r="C88" s="18">
        <f>E86*$C$17/4</f>
        <v>0</v>
      </c>
      <c r="D88" s="18">
        <f>+B88-C88</f>
        <v>0</v>
      </c>
      <c r="E88" s="18">
        <f>+E86-D88</f>
        <v>0</v>
      </c>
      <c r="F88" s="21">
        <f>+F86+D88</f>
        <v>0</v>
      </c>
      <c r="H88" s="26" t="s">
        <v>28</v>
      </c>
      <c r="I88" s="18">
        <f>IF($C$23&lt;1,0,IF($C$25&lt;5,0,PMT($C$24/4,($C$25-$C$26)*4,-$C$23)))</f>
        <v>0</v>
      </c>
      <c r="J88" s="18">
        <f>L86*$C$24/4</f>
        <v>0</v>
      </c>
      <c r="K88" s="18">
        <f>+I88-J88</f>
        <v>0</v>
      </c>
      <c r="L88" s="18">
        <f>+L86-K88</f>
        <v>0</v>
      </c>
      <c r="M88" s="21">
        <f>+M86+K88</f>
        <v>0</v>
      </c>
    </row>
    <row r="89" spans="1:13" s="27" customFormat="1" ht="19.5" customHeight="1">
      <c r="A89" s="26" t="s">
        <v>29</v>
      </c>
      <c r="B89" s="18">
        <f>IF($C$16&lt;1,0,IF($C$18&lt;5,0,PMT($C$17/4,($C$18-$C$19)*4,-$C$16)))</f>
        <v>0</v>
      </c>
      <c r="C89" s="18">
        <f>+E88*$C$17/4</f>
        <v>0</v>
      </c>
      <c r="D89" s="18">
        <f>+B89-C89</f>
        <v>0</v>
      </c>
      <c r="E89" s="18">
        <f>+E88-D89</f>
        <v>0</v>
      </c>
      <c r="F89" s="21">
        <f>+F88+D89</f>
        <v>0</v>
      </c>
      <c r="H89" s="26" t="s">
        <v>29</v>
      </c>
      <c r="I89" s="18">
        <f>IF($C$23&lt;1,0,IF($C$25&lt;5,0,PMT($C$24/4,($C$25-$C$26)*4,-$C$23)))</f>
        <v>0</v>
      </c>
      <c r="J89" s="18">
        <f>+L88*$C$24/4</f>
        <v>0</v>
      </c>
      <c r="K89" s="18">
        <f>+I89-J89</f>
        <v>0</v>
      </c>
      <c r="L89" s="18">
        <f>+L88-K89</f>
        <v>0</v>
      </c>
      <c r="M89" s="21">
        <f>+M88+K89</f>
        <v>0</v>
      </c>
    </row>
    <row r="90" spans="1:13" s="27" customFormat="1" ht="19.5" customHeight="1">
      <c r="A90" s="26" t="s">
        <v>30</v>
      </c>
      <c r="B90" s="18">
        <f>IF($C$16&lt;1,0,IF($C$18&lt;5,0,PMT($C$17/4,($C$18-$C$19)*4,-$C$16)))</f>
        <v>0</v>
      </c>
      <c r="C90" s="18">
        <f>+E89*$C$17/4</f>
        <v>0</v>
      </c>
      <c r="D90" s="18">
        <f>+B90-C90</f>
        <v>0</v>
      </c>
      <c r="E90" s="18">
        <f>+E89-D90</f>
        <v>0</v>
      </c>
      <c r="F90" s="21">
        <f>+F89+D90</f>
        <v>0</v>
      </c>
      <c r="H90" s="26" t="s">
        <v>30</v>
      </c>
      <c r="I90" s="18">
        <f>IF($C$23&lt;1,0,IF($C$25&lt;5,0,PMT($C$24/4,($C$25-$C$26)*4,-$C$23)))</f>
        <v>0</v>
      </c>
      <c r="J90" s="18">
        <f>+L89*$C$24/4</f>
        <v>0</v>
      </c>
      <c r="K90" s="18">
        <f>+I90-J90</f>
        <v>0</v>
      </c>
      <c r="L90" s="18">
        <f>+L89-K90</f>
        <v>0</v>
      </c>
      <c r="M90" s="21">
        <f>+M89+K90</f>
        <v>0</v>
      </c>
    </row>
    <row r="91" spans="1:13" ht="19.5" customHeight="1">
      <c r="A91" s="26" t="s">
        <v>31</v>
      </c>
      <c r="B91" s="18">
        <f>IF($C$16&lt;1,0,IF($C$18&lt;5,0,PMT($C$17/4,($C$18-$C$19)*4,-$C$16)))</f>
        <v>0</v>
      </c>
      <c r="C91" s="18">
        <f>+E90*$C$17/4</f>
        <v>0</v>
      </c>
      <c r="D91" s="18">
        <f>+B91-C91</f>
        <v>0</v>
      </c>
      <c r="E91" s="18">
        <f>+E90-D91</f>
        <v>0</v>
      </c>
      <c r="F91" s="21">
        <f>+F90+D91</f>
        <v>0</v>
      </c>
      <c r="H91" s="26" t="s">
        <v>31</v>
      </c>
      <c r="I91" s="18">
        <f>IF($C$23&lt;1,0,IF($C$25&lt;5,0,PMT($C$24/4,($C$25-$C$26)*4,-$C$23)))</f>
        <v>0</v>
      </c>
      <c r="J91" s="18">
        <f>+L90*$C$24/4</f>
        <v>0</v>
      </c>
      <c r="K91" s="18">
        <f>+I91-J91</f>
        <v>0</v>
      </c>
      <c r="L91" s="18">
        <f>+L90-K91</f>
        <v>0</v>
      </c>
      <c r="M91" s="21">
        <f>+M90+K91</f>
        <v>0</v>
      </c>
    </row>
    <row r="92" spans="1:13" ht="19.5" customHeight="1">
      <c r="A92" s="28" t="s">
        <v>32</v>
      </c>
      <c r="B92" s="29">
        <f>SUM(B88:B91)</f>
        <v>0</v>
      </c>
      <c r="C92" s="29">
        <f>SUM(C88:C91)</f>
        <v>0</v>
      </c>
      <c r="D92" s="29">
        <f>SUM(D88:D91)</f>
        <v>0</v>
      </c>
      <c r="E92" s="29"/>
      <c r="F92" s="30"/>
      <c r="H92" s="28" t="s">
        <v>32</v>
      </c>
      <c r="I92" s="29">
        <f>SUM(I88:I91)</f>
        <v>0</v>
      </c>
      <c r="J92" s="29">
        <f>SUM(J88:J91)</f>
        <v>0</v>
      </c>
      <c r="K92" s="29">
        <f>SUM(K88:K91)</f>
        <v>0</v>
      </c>
      <c r="L92" s="29"/>
      <c r="M92" s="30"/>
    </row>
    <row r="93" spans="1:13" ht="19.5" customHeight="1" thickBot="1">
      <c r="A93" s="31" t="s">
        <v>33</v>
      </c>
      <c r="B93" s="32">
        <f>+B92+B87+B82+B77+B72</f>
        <v>0</v>
      </c>
      <c r="C93" s="32">
        <f>+C92+C87+C82+C77+C72</f>
        <v>0</v>
      </c>
      <c r="D93" s="32">
        <f>+D92+D87+D82+D77+D72</f>
        <v>0</v>
      </c>
      <c r="E93" s="33"/>
      <c r="F93" s="34"/>
      <c r="H93" s="31" t="s">
        <v>33</v>
      </c>
      <c r="I93" s="32">
        <f>+I92+I87+I82+I77+I72</f>
        <v>0</v>
      </c>
      <c r="J93" s="32">
        <f>+J92+J87+J82+J77+J72</f>
        <v>0</v>
      </c>
      <c r="K93" s="32">
        <f>+K92+K87+K82+K77+K72</f>
        <v>0</v>
      </c>
      <c r="L93" s="33"/>
      <c r="M93" s="34"/>
    </row>
    <row r="94" spans="1:13">
      <c r="I94" s="35"/>
    </row>
    <row r="95" spans="1:13" s="16" customFormat="1" ht="288">
      <c r="A95" s="128" t="s">
        <v>61</v>
      </c>
      <c r="B95" s="129" t="s">
        <v>4</v>
      </c>
      <c r="C95" s="129" t="s">
        <v>5</v>
      </c>
      <c r="D95" s="129" t="s">
        <v>190</v>
      </c>
      <c r="E95" s="129" t="s">
        <v>6</v>
      </c>
      <c r="F95" s="130" t="s">
        <v>7</v>
      </c>
      <c r="H95" s="128" t="s">
        <v>61</v>
      </c>
      <c r="I95" s="129" t="s">
        <v>4</v>
      </c>
      <c r="J95" s="129" t="s">
        <v>5</v>
      </c>
      <c r="K95" s="129" t="s">
        <v>190</v>
      </c>
      <c r="L95" s="129" t="s">
        <v>6</v>
      </c>
      <c r="M95" s="130" t="s">
        <v>7</v>
      </c>
    </row>
    <row r="96" spans="1:13" s="16" customFormat="1" ht="16.5">
      <c r="A96" s="26" t="s">
        <v>13</v>
      </c>
      <c r="B96" s="18">
        <f>IF($E$16&lt;1,0,IF($E$19&gt;=1,C96,PMT($E$17/4,($E$18-$E$19)*4,-$E$16)))</f>
        <v>0</v>
      </c>
      <c r="C96" s="18">
        <f>$E$16*$E$17/4</f>
        <v>0</v>
      </c>
      <c r="D96" s="18">
        <f>+B96-C96</f>
        <v>0</v>
      </c>
      <c r="E96" s="18">
        <f>$E$16-D96</f>
        <v>0</v>
      </c>
      <c r="F96" s="21">
        <f>D96</f>
        <v>0</v>
      </c>
      <c r="H96" s="26" t="s">
        <v>13</v>
      </c>
      <c r="I96" s="18">
        <f>IF($E$23&lt;1,0,IF($E$26&gt;=1,J96,PMT($E$24/4,($E$25-$E$26)*4,-$E$23)))</f>
        <v>0</v>
      </c>
      <c r="J96" s="18">
        <f>$E$23*$E$24/4</f>
        <v>0</v>
      </c>
      <c r="K96" s="18">
        <f>+I96-J96</f>
        <v>0</v>
      </c>
      <c r="L96" s="18">
        <f>$E$23-K96</f>
        <v>0</v>
      </c>
      <c r="M96" s="21">
        <f>K96</f>
        <v>0</v>
      </c>
    </row>
    <row r="97" spans="1:13" s="27" customFormat="1" ht="29.25" customHeight="1">
      <c r="A97" s="26" t="s">
        <v>14</v>
      </c>
      <c r="B97" s="18">
        <f>IF($E$16&lt;1,0,IF($E$19&gt;=1,C97,PMT($E$17/4,($E$18-$E$19)*4,-$E$16)))</f>
        <v>0</v>
      </c>
      <c r="C97" s="18">
        <f>E96*$E$17/4</f>
        <v>0</v>
      </c>
      <c r="D97" s="18">
        <f>+B97-C97</f>
        <v>0</v>
      </c>
      <c r="E97" s="18">
        <f>E96-D97</f>
        <v>0</v>
      </c>
      <c r="F97" s="21">
        <f>F96+D97</f>
        <v>0</v>
      </c>
      <c r="H97" s="26" t="s">
        <v>14</v>
      </c>
      <c r="I97" s="18">
        <f>IF($E$23&lt;1,0,IF($E$26&gt;=1,J97,PMT($E$24/4,($E$25-$E$26)*4,-$E$23)))</f>
        <v>0</v>
      </c>
      <c r="J97" s="18">
        <f>L96*$E$24/4</f>
        <v>0</v>
      </c>
      <c r="K97" s="18">
        <f>+I97-J97</f>
        <v>0</v>
      </c>
      <c r="L97" s="18">
        <f>L96-K97</f>
        <v>0</v>
      </c>
      <c r="M97" s="21">
        <f>M96+K97</f>
        <v>0</v>
      </c>
    </row>
    <row r="98" spans="1:13" s="16" customFormat="1" ht="16.5">
      <c r="A98" s="26" t="s">
        <v>15</v>
      </c>
      <c r="B98" s="18">
        <f>IF($E$16&lt;1,0,IF($E$19&gt;=1,C98,PMT($E$17/4,($E$18-$E$19)*4,-$E$16)))</f>
        <v>0</v>
      </c>
      <c r="C98" s="18">
        <f>E97*$E$17/4</f>
        <v>0</v>
      </c>
      <c r="D98" s="18">
        <f>+B98-C98</f>
        <v>0</v>
      </c>
      <c r="E98" s="18">
        <f>E97-D98</f>
        <v>0</v>
      </c>
      <c r="F98" s="21">
        <f>F97+D98</f>
        <v>0</v>
      </c>
      <c r="H98" s="26" t="s">
        <v>15</v>
      </c>
      <c r="I98" s="18">
        <f>IF($E$23&lt;1,0,IF($E$26&gt;=1,J98,PMT($E$24/4,($E$25-$E$26)*4,-$E$23)))</f>
        <v>0</v>
      </c>
      <c r="J98" s="18">
        <f>L97*$E$24/4</f>
        <v>0</v>
      </c>
      <c r="K98" s="18">
        <f>+I98-J98</f>
        <v>0</v>
      </c>
      <c r="L98" s="18">
        <f>L97-K98</f>
        <v>0</v>
      </c>
      <c r="M98" s="21">
        <f>M97+K98</f>
        <v>0</v>
      </c>
    </row>
    <row r="99" spans="1:13" s="16" customFormat="1" ht="16.5">
      <c r="A99" s="26" t="s">
        <v>16</v>
      </c>
      <c r="B99" s="18">
        <f>IF($E$16&lt;1,0,IF($E$19&gt;=1,C99,PMT($E$17/4,($E$18-$E$19)*4,-$E$16)))</f>
        <v>0</v>
      </c>
      <c r="C99" s="18">
        <f>E98*$E$17/4</f>
        <v>0</v>
      </c>
      <c r="D99" s="18">
        <f>+B99-C99</f>
        <v>0</v>
      </c>
      <c r="E99" s="18">
        <f>E98-D99</f>
        <v>0</v>
      </c>
      <c r="F99" s="21">
        <f>F98+D99</f>
        <v>0</v>
      </c>
      <c r="H99" s="26" t="s">
        <v>16</v>
      </c>
      <c r="I99" s="18">
        <f>IF($E$23&lt;1,0,IF($E$26&gt;=1,J99,PMT($E$24/4,($E$25-$E$26)*4,-$E$23)))</f>
        <v>0</v>
      </c>
      <c r="J99" s="18">
        <f>L98*$E$24/4</f>
        <v>0</v>
      </c>
      <c r="K99" s="18">
        <f>+I99-J99</f>
        <v>0</v>
      </c>
      <c r="L99" s="18">
        <f>L98-K99</f>
        <v>0</v>
      </c>
      <c r="M99" s="21">
        <f>M98+K99</f>
        <v>0</v>
      </c>
    </row>
    <row r="100" spans="1:13" s="16" customFormat="1" ht="16.5">
      <c r="A100" s="28" t="s">
        <v>17</v>
      </c>
      <c r="B100" s="29">
        <f>SUM(B96:B99)</f>
        <v>0</v>
      </c>
      <c r="C100" s="29">
        <f>SUM(C96:C99)</f>
        <v>0</v>
      </c>
      <c r="D100" s="29">
        <f>SUM(D96:D99)</f>
        <v>0</v>
      </c>
      <c r="E100" s="29"/>
      <c r="F100" s="30"/>
      <c r="H100" s="28" t="s">
        <v>17</v>
      </c>
      <c r="I100" s="29">
        <f>SUM(I96:I99)</f>
        <v>0</v>
      </c>
      <c r="J100" s="29">
        <f>SUM(J96:J99)</f>
        <v>0</v>
      </c>
      <c r="K100" s="29">
        <f>SUM(K96:K99)</f>
        <v>0</v>
      </c>
      <c r="L100" s="29"/>
      <c r="M100" s="30"/>
    </row>
    <row r="101" spans="1:13" s="16" customFormat="1" ht="16.5">
      <c r="A101" s="26" t="s">
        <v>18</v>
      </c>
      <c r="B101" s="18">
        <f>IF($E$16&lt;1,0,IF($E$19&gt;=2,C101,PMT($E$17/4,($E$18-$E$19)*4,-$E$16)))</f>
        <v>0</v>
      </c>
      <c r="C101" s="18">
        <f>E99*$E$17/4</f>
        <v>0</v>
      </c>
      <c r="D101" s="18">
        <f>+B101-C101</f>
        <v>0</v>
      </c>
      <c r="E101" s="18">
        <f>+E99-D101</f>
        <v>0</v>
      </c>
      <c r="F101" s="21">
        <f>+F99+D101</f>
        <v>0</v>
      </c>
      <c r="H101" s="26" t="s">
        <v>18</v>
      </c>
      <c r="I101" s="18">
        <f>IF($E$23&lt;1,0,IF($E$26&gt;=2,J101,PMT($E$24/4,($E$25-$E$26)*4,-$E$23)))</f>
        <v>0</v>
      </c>
      <c r="J101" s="18">
        <f>L99*$E$24/4</f>
        <v>0</v>
      </c>
      <c r="K101" s="18">
        <f>+I101-J101</f>
        <v>0</v>
      </c>
      <c r="L101" s="18">
        <f>+L99-K101</f>
        <v>0</v>
      </c>
      <c r="M101" s="21">
        <f>+M99+K101</f>
        <v>0</v>
      </c>
    </row>
    <row r="102" spans="1:13" s="27" customFormat="1" ht="29.25" customHeight="1">
      <c r="A102" s="26" t="s">
        <v>19</v>
      </c>
      <c r="B102" s="18">
        <f>IF($E$16&lt;1,0,IF($E$19&gt;=2,C102,PMT($E$17/4,($E$18-$E$19)*4,-$E$16)))</f>
        <v>0</v>
      </c>
      <c r="C102" s="18">
        <f>+E101*$E$17/4</f>
        <v>0</v>
      </c>
      <c r="D102" s="18">
        <f>+B102-C102</f>
        <v>0</v>
      </c>
      <c r="E102" s="18">
        <f>+E101-D102</f>
        <v>0</v>
      </c>
      <c r="F102" s="21">
        <f>+F101+D102</f>
        <v>0</v>
      </c>
      <c r="H102" s="26" t="s">
        <v>19</v>
      </c>
      <c r="I102" s="18">
        <f>IF($E$23&lt;1,0,IF($E$26&gt;=2,J102,PMT($E$24/4,($E$25-$E$26)*4,-$E$23)))</f>
        <v>0</v>
      </c>
      <c r="J102" s="18">
        <f>+L101*$E$24/4</f>
        <v>0</v>
      </c>
      <c r="K102" s="18">
        <f>+I102-J102</f>
        <v>0</v>
      </c>
      <c r="L102" s="18">
        <f>+L101-K102</f>
        <v>0</v>
      </c>
      <c r="M102" s="21">
        <f>+M101+K102</f>
        <v>0</v>
      </c>
    </row>
    <row r="103" spans="1:13" s="16" customFormat="1" ht="16.5">
      <c r="A103" s="26" t="s">
        <v>20</v>
      </c>
      <c r="B103" s="18">
        <f>IF($E$16&lt;1,0,IF($E$19&gt;=2,C103,PMT($E$17/4,($E$18-$E$19)*4,-$E$16)))</f>
        <v>0</v>
      </c>
      <c r="C103" s="18">
        <f>+E102*$E$17/4</f>
        <v>0</v>
      </c>
      <c r="D103" s="18">
        <f>+B103-C103</f>
        <v>0</v>
      </c>
      <c r="E103" s="18">
        <f>+E102-D103</f>
        <v>0</v>
      </c>
      <c r="F103" s="21">
        <f>+F102+D103</f>
        <v>0</v>
      </c>
      <c r="H103" s="26" t="s">
        <v>20</v>
      </c>
      <c r="I103" s="18">
        <f>IF($E$23&lt;1,0,IF($E$26&gt;=2,J103,PMT($E$24/4,($E$25-$E$26)*4,-$E$23)))</f>
        <v>0</v>
      </c>
      <c r="J103" s="18">
        <f>+L102*$E$24/4</f>
        <v>0</v>
      </c>
      <c r="K103" s="18">
        <f>+I103-J103</f>
        <v>0</v>
      </c>
      <c r="L103" s="18">
        <f>+L102-K103</f>
        <v>0</v>
      </c>
      <c r="M103" s="21">
        <f>+M102+K103</f>
        <v>0</v>
      </c>
    </row>
    <row r="104" spans="1:13" s="16" customFormat="1" ht="16.5">
      <c r="A104" s="26" t="s">
        <v>21</v>
      </c>
      <c r="B104" s="18">
        <f>IF($E$16&lt;1,0,IF($E$19&gt;=2,C104,PMT($E$17/4,($E$18-$E$19)*4,-$E$16)))</f>
        <v>0</v>
      </c>
      <c r="C104" s="18">
        <f>+E103*$E$17/4</f>
        <v>0</v>
      </c>
      <c r="D104" s="18">
        <f>+B104-C104</f>
        <v>0</v>
      </c>
      <c r="E104" s="18">
        <f>+E103-D104</f>
        <v>0</v>
      </c>
      <c r="F104" s="21">
        <f>+F103+D104</f>
        <v>0</v>
      </c>
      <c r="H104" s="26" t="s">
        <v>21</v>
      </c>
      <c r="I104" s="18">
        <f>IF($E$23&lt;1,0,IF($E$26&gt;=2,J104,PMT($E$24/4,($E$25-$E$26)*4,-$E$23)))</f>
        <v>0</v>
      </c>
      <c r="J104" s="18">
        <f>+L103*$E$24/4</f>
        <v>0</v>
      </c>
      <c r="K104" s="18">
        <f>+I104-J104</f>
        <v>0</v>
      </c>
      <c r="L104" s="18">
        <f>+L103-K104</f>
        <v>0</v>
      </c>
      <c r="M104" s="21">
        <f>+M103+K104</f>
        <v>0</v>
      </c>
    </row>
    <row r="105" spans="1:13" s="16" customFormat="1" ht="16.5">
      <c r="A105" s="28" t="s">
        <v>22</v>
      </c>
      <c r="B105" s="29">
        <f>SUM(B101:B104)</f>
        <v>0</v>
      </c>
      <c r="C105" s="29">
        <f>SUM(C101:C104)</f>
        <v>0</v>
      </c>
      <c r="D105" s="29">
        <f>SUM(D101:D104)</f>
        <v>0</v>
      </c>
      <c r="E105" s="29"/>
      <c r="F105" s="30"/>
      <c r="H105" s="28" t="s">
        <v>22</v>
      </c>
      <c r="I105" s="29">
        <f>SUM(I101:I104)</f>
        <v>0</v>
      </c>
      <c r="J105" s="29">
        <f>SUM(J101:J104)</f>
        <v>0</v>
      </c>
      <c r="K105" s="29">
        <f>SUM(K101:K104)</f>
        <v>0</v>
      </c>
      <c r="L105" s="29"/>
      <c r="M105" s="30"/>
    </row>
    <row r="106" spans="1:13" s="16" customFormat="1" ht="16.5">
      <c r="A106" s="26" t="s">
        <v>23</v>
      </c>
      <c r="B106" s="18">
        <f>IF($E$16&lt;1,0,IF($E$18&lt;3,0,PMT($E$17/4,($E$18-$E$19)*4,-$E$16)))</f>
        <v>0</v>
      </c>
      <c r="C106" s="18">
        <f>E104*$E$17/4</f>
        <v>0</v>
      </c>
      <c r="D106" s="18">
        <f>+B106-C106</f>
        <v>0</v>
      </c>
      <c r="E106" s="18">
        <f>+E104-D106</f>
        <v>0</v>
      </c>
      <c r="F106" s="21">
        <f>+F104+D106</f>
        <v>0</v>
      </c>
      <c r="H106" s="26" t="s">
        <v>23</v>
      </c>
      <c r="I106" s="18">
        <f>IF($E$23&lt;1,0,IF($E$25&lt;3,0,PMT($E$24/4,($E$25-$E$26)*4,-$E$23)))</f>
        <v>0</v>
      </c>
      <c r="J106" s="18">
        <f>L104*$E$24/4</f>
        <v>0</v>
      </c>
      <c r="K106" s="18">
        <f>+I106-J106</f>
        <v>0</v>
      </c>
      <c r="L106" s="18">
        <f>+L104-K106</f>
        <v>0</v>
      </c>
      <c r="M106" s="21">
        <f>+M104+K106</f>
        <v>0</v>
      </c>
    </row>
    <row r="107" spans="1:13" s="27" customFormat="1" ht="29.25" customHeight="1">
      <c r="A107" s="26" t="s">
        <v>24</v>
      </c>
      <c r="B107" s="18">
        <f>IF($E$16&lt;1,0,IF($E$18&lt;3,0,PMT($E$17/4,($E$18-$E$19)*4,-$E$16)))</f>
        <v>0</v>
      </c>
      <c r="C107" s="18">
        <f>+E106*$E$17/4</f>
        <v>0</v>
      </c>
      <c r="D107" s="18">
        <f>+B107-C107</f>
        <v>0</v>
      </c>
      <c r="E107" s="18">
        <f>+E106-D107</f>
        <v>0</v>
      </c>
      <c r="F107" s="21">
        <f>+F106+D107</f>
        <v>0</v>
      </c>
      <c r="H107" s="26" t="s">
        <v>24</v>
      </c>
      <c r="I107" s="18">
        <f>IF($E$23&lt;1,0,IF($E$25&lt;3,0,PMT($E$24/4,($E$25-$E$26)*4,-$E$23)))</f>
        <v>0</v>
      </c>
      <c r="J107" s="18">
        <f>+L106*$E$24/4</f>
        <v>0</v>
      </c>
      <c r="K107" s="18">
        <f>+I107-J107</f>
        <v>0</v>
      </c>
      <c r="L107" s="18">
        <f>+L106-K107</f>
        <v>0</v>
      </c>
      <c r="M107" s="21">
        <f>+M106+K107</f>
        <v>0</v>
      </c>
    </row>
    <row r="108" spans="1:13" s="16" customFormat="1" ht="16.5">
      <c r="A108" s="26" t="s">
        <v>25</v>
      </c>
      <c r="B108" s="18">
        <f>IF($E$16&lt;1,0,IF($E$18&lt;3,0,PMT($E$17/4,($E$18-$E$19)*4,-$E$16)))</f>
        <v>0</v>
      </c>
      <c r="C108" s="18">
        <f>+E107*$E$17/4</f>
        <v>0</v>
      </c>
      <c r="D108" s="18">
        <f>+B108-C108</f>
        <v>0</v>
      </c>
      <c r="E108" s="18">
        <f>+E107-D108</f>
        <v>0</v>
      </c>
      <c r="F108" s="21">
        <f>+F107+D108</f>
        <v>0</v>
      </c>
      <c r="H108" s="26" t="s">
        <v>25</v>
      </c>
      <c r="I108" s="18">
        <f>IF($E$23&lt;1,0,IF($E$25&lt;3,0,PMT($E$24/4,($E$25-$E$26)*4,-$E$23)))</f>
        <v>0</v>
      </c>
      <c r="J108" s="18">
        <f>+L107*$E$24/4</f>
        <v>0</v>
      </c>
      <c r="K108" s="18">
        <f>+I108-J108</f>
        <v>0</v>
      </c>
      <c r="L108" s="18">
        <f>+L107-K108</f>
        <v>0</v>
      </c>
      <c r="M108" s="21">
        <f>+M107+K108</f>
        <v>0</v>
      </c>
    </row>
    <row r="109" spans="1:13" s="16" customFormat="1" ht="16.5">
      <c r="A109" s="26" t="s">
        <v>26</v>
      </c>
      <c r="B109" s="18">
        <f>IF($E$16&lt;1,0,IF($E$18&lt;3,0,PMT($E$17/4,($E$18-$E$19)*4,-$E$16)))</f>
        <v>0</v>
      </c>
      <c r="C109" s="18">
        <f>+E108*$E$17/4</f>
        <v>0</v>
      </c>
      <c r="D109" s="18">
        <f>+B109-C109</f>
        <v>0</v>
      </c>
      <c r="E109" s="18">
        <f>+E108-D109</f>
        <v>0</v>
      </c>
      <c r="F109" s="21">
        <f>+F108+D109</f>
        <v>0</v>
      </c>
      <c r="H109" s="26" t="s">
        <v>26</v>
      </c>
      <c r="I109" s="18">
        <f>IF($E$23&lt;1,0,IF($E$25&lt;3,0,PMT($E$24/4,($E$25-$E$26)*4,-$E$23)))</f>
        <v>0</v>
      </c>
      <c r="J109" s="18">
        <f>+L108*$E$24/4</f>
        <v>0</v>
      </c>
      <c r="K109" s="18">
        <f>+I109-J109</f>
        <v>0</v>
      </c>
      <c r="L109" s="18">
        <f>+L108-K109</f>
        <v>0</v>
      </c>
      <c r="M109" s="21">
        <f>+M108+K109</f>
        <v>0</v>
      </c>
    </row>
    <row r="110" spans="1:13" s="16" customFormat="1" ht="16.5">
      <c r="A110" s="28" t="s">
        <v>27</v>
      </c>
      <c r="B110" s="29">
        <f>SUM(B106:B109)</f>
        <v>0</v>
      </c>
      <c r="C110" s="29">
        <f>SUM(C106:C109)</f>
        <v>0</v>
      </c>
      <c r="D110" s="29">
        <f>SUM(D106:D109)</f>
        <v>0</v>
      </c>
      <c r="E110" s="29"/>
      <c r="F110" s="30"/>
      <c r="H110" s="28" t="s">
        <v>27</v>
      </c>
      <c r="I110" s="29">
        <f>SUM(I106:I109)</f>
        <v>0</v>
      </c>
      <c r="J110" s="29">
        <f>SUM(J106:J109)</f>
        <v>0</v>
      </c>
      <c r="K110" s="29">
        <f>SUM(K106:K109)</f>
        <v>0</v>
      </c>
      <c r="L110" s="29"/>
      <c r="M110" s="30"/>
    </row>
    <row r="111" spans="1:13" s="16" customFormat="1" ht="16.5">
      <c r="A111" s="26" t="s">
        <v>28</v>
      </c>
      <c r="B111" s="18">
        <f>IF($E$16&lt;1,0,IF($E$18&lt;4,0,PMT($E$17/4,($E$18-$E$19)*4,-$E$16)))</f>
        <v>0</v>
      </c>
      <c r="C111" s="18">
        <f>E109*$E$17/4</f>
        <v>0</v>
      </c>
      <c r="D111" s="18">
        <f>+B111-C111</f>
        <v>0</v>
      </c>
      <c r="E111" s="18">
        <f>+E109-D111</f>
        <v>0</v>
      </c>
      <c r="F111" s="21">
        <f>+F109+D111</f>
        <v>0</v>
      </c>
      <c r="H111" s="26" t="s">
        <v>28</v>
      </c>
      <c r="I111" s="18">
        <f>IF($E$23&lt;1,0,IF($E$25&lt;4,0,PMT($E$24/4,($E$25-$E$26)*4,-$E$23)))</f>
        <v>0</v>
      </c>
      <c r="J111" s="18">
        <f>L109*$E$24/4</f>
        <v>0</v>
      </c>
      <c r="K111" s="18">
        <f>+I111-J111</f>
        <v>0</v>
      </c>
      <c r="L111" s="18">
        <f>+L109-K111</f>
        <v>0</v>
      </c>
      <c r="M111" s="21">
        <f>+M109+K111</f>
        <v>0</v>
      </c>
    </row>
    <row r="112" spans="1:13" s="27" customFormat="1" ht="29.25" customHeight="1">
      <c r="A112" s="26" t="s">
        <v>29</v>
      </c>
      <c r="B112" s="18">
        <f>IF($E$16&lt;1,0,IF($E$18&lt;4,0,PMT($E$17/4,($E$18-$E$19)*4,-$E$16)))</f>
        <v>0</v>
      </c>
      <c r="C112" s="18">
        <f>+E111*$E$17/4</f>
        <v>0</v>
      </c>
      <c r="D112" s="18">
        <f>+B112-C112</f>
        <v>0</v>
      </c>
      <c r="E112" s="18">
        <f>+E111-D112</f>
        <v>0</v>
      </c>
      <c r="F112" s="21">
        <f>+F111+D112</f>
        <v>0</v>
      </c>
      <c r="H112" s="26" t="s">
        <v>29</v>
      </c>
      <c r="I112" s="18">
        <f>IF($E$23&lt;1,0,IF($E$25&lt;4,0,PMT($E$24/4,($E$25-$E$26)*4,-$E$23)))</f>
        <v>0</v>
      </c>
      <c r="J112" s="18">
        <f>+L111*$E$24/4</f>
        <v>0</v>
      </c>
      <c r="K112" s="18">
        <f>+I112-J112</f>
        <v>0</v>
      </c>
      <c r="L112" s="18">
        <f>+L111-K112</f>
        <v>0</v>
      </c>
      <c r="M112" s="21">
        <f>+M111+K112</f>
        <v>0</v>
      </c>
    </row>
    <row r="113" spans="1:13" s="16" customFormat="1" ht="16.5">
      <c r="A113" s="26" t="s">
        <v>30</v>
      </c>
      <c r="B113" s="18">
        <f>IF($E$16&lt;1,0,IF($E$18&lt;4,0,PMT($E$17/4,($E$18-$E$19)*4,-$E$16)))</f>
        <v>0</v>
      </c>
      <c r="C113" s="18">
        <f>+E112*$E$17/4</f>
        <v>0</v>
      </c>
      <c r="D113" s="18">
        <f>+B113-C113</f>
        <v>0</v>
      </c>
      <c r="E113" s="18">
        <f>+E112-D113</f>
        <v>0</v>
      </c>
      <c r="F113" s="21">
        <f>+F112+D113</f>
        <v>0</v>
      </c>
      <c r="H113" s="26" t="s">
        <v>30</v>
      </c>
      <c r="I113" s="18">
        <f>IF($E$23&lt;1,0,IF($E$25&lt;4,0,PMT($E$24/4,($E$25-$E$26)*4,-$E$23)))</f>
        <v>0</v>
      </c>
      <c r="J113" s="18">
        <f>+L112*$E$24/4</f>
        <v>0</v>
      </c>
      <c r="K113" s="18">
        <f>+I113-J113</f>
        <v>0</v>
      </c>
      <c r="L113" s="18">
        <f>+L112-K113</f>
        <v>0</v>
      </c>
      <c r="M113" s="21">
        <f>+M112+K113</f>
        <v>0</v>
      </c>
    </row>
    <row r="114" spans="1:13" s="16" customFormat="1" ht="16.5">
      <c r="A114" s="26" t="s">
        <v>31</v>
      </c>
      <c r="B114" s="18">
        <f>IF($E$16&lt;1,0,IF($E$18&lt;4,0,PMT($E$17/4,($E$18-$E$19)*4,-$E$16)))</f>
        <v>0</v>
      </c>
      <c r="C114" s="18">
        <f>+E113*$E$17/4</f>
        <v>0</v>
      </c>
      <c r="D114" s="18">
        <f>+B114-C114</f>
        <v>0</v>
      </c>
      <c r="E114" s="18">
        <f>+E113-D114</f>
        <v>0</v>
      </c>
      <c r="F114" s="21">
        <f>+F113+D114</f>
        <v>0</v>
      </c>
      <c r="H114" s="26" t="s">
        <v>31</v>
      </c>
      <c r="I114" s="18">
        <f>IF($E$23&lt;1,0,IF($E$25&lt;4,0,PMT($E$24/4,($E$25-$E$26)*4,-$E$23)))</f>
        <v>0</v>
      </c>
      <c r="J114" s="18">
        <f>+L113*$E$24/4</f>
        <v>0</v>
      </c>
      <c r="K114" s="18">
        <f>+I114-J114</f>
        <v>0</v>
      </c>
      <c r="L114" s="18">
        <f>+L113-K114</f>
        <v>0</v>
      </c>
      <c r="M114" s="21">
        <f>+M113+K114</f>
        <v>0</v>
      </c>
    </row>
    <row r="115" spans="1:13" s="16" customFormat="1" ht="16.5">
      <c r="A115" s="28" t="s">
        <v>32</v>
      </c>
      <c r="B115" s="29">
        <f>SUM(B111:B114)</f>
        <v>0</v>
      </c>
      <c r="C115" s="29">
        <f>SUM(C111:C114)</f>
        <v>0</v>
      </c>
      <c r="D115" s="29">
        <f>SUM(D111:D114)</f>
        <v>0</v>
      </c>
      <c r="E115" s="29"/>
      <c r="F115" s="30"/>
      <c r="H115" s="28" t="s">
        <v>32</v>
      </c>
      <c r="I115" s="29">
        <f>SUM(I111:I114)</f>
        <v>0</v>
      </c>
      <c r="J115" s="29">
        <f>SUM(J111:J114)</f>
        <v>0</v>
      </c>
      <c r="K115" s="29">
        <f>SUM(K111:K114)</f>
        <v>0</v>
      </c>
      <c r="L115" s="29"/>
      <c r="M115" s="30"/>
    </row>
    <row r="116" spans="1:13" ht="18.75" thickBot="1">
      <c r="A116" s="31" t="s">
        <v>33</v>
      </c>
      <c r="B116" s="32">
        <f>B100+B105+B110+B115</f>
        <v>0</v>
      </c>
      <c r="C116" s="32">
        <f>C100+C105+C110+C115</f>
        <v>0</v>
      </c>
      <c r="D116" s="32">
        <f>D100+D105+D110+D115</f>
        <v>0</v>
      </c>
      <c r="E116" s="32"/>
      <c r="F116" s="36"/>
      <c r="H116" s="31" t="s">
        <v>33</v>
      </c>
      <c r="I116" s="32">
        <f>I100+I105+I110+I115</f>
        <v>0</v>
      </c>
      <c r="J116" s="32">
        <f>J100+J105+J110+J115</f>
        <v>0</v>
      </c>
      <c r="K116" s="32">
        <f>K100+K105+K110+K115</f>
        <v>0</v>
      </c>
      <c r="L116" s="32"/>
      <c r="M116" s="36"/>
    </row>
    <row r="117" spans="1:13">
      <c r="I117" s="35"/>
    </row>
    <row r="118" spans="1:13" s="16" customFormat="1" ht="288">
      <c r="A118" s="128" t="s">
        <v>62</v>
      </c>
      <c r="B118" s="129" t="s">
        <v>4</v>
      </c>
      <c r="C118" s="129" t="s">
        <v>5</v>
      </c>
      <c r="D118" s="129" t="s">
        <v>190</v>
      </c>
      <c r="E118" s="129" t="s">
        <v>6</v>
      </c>
      <c r="F118" s="130" t="s">
        <v>7</v>
      </c>
      <c r="H118" s="128" t="s">
        <v>62</v>
      </c>
      <c r="I118" s="129" t="s">
        <v>4</v>
      </c>
      <c r="J118" s="129" t="s">
        <v>5</v>
      </c>
      <c r="K118" s="129" t="s">
        <v>190</v>
      </c>
      <c r="L118" s="129" t="s">
        <v>6</v>
      </c>
      <c r="M118" s="130" t="s">
        <v>7</v>
      </c>
    </row>
    <row r="119" spans="1:13" s="16" customFormat="1" ht="16.5">
      <c r="A119" s="26" t="s">
        <v>18</v>
      </c>
      <c r="B119" s="18">
        <f>IF($F$16&lt;1,0,IF($F$19&gt;=1,C119,PMT($F$17/4,($F$18-$F$19)*4,-$F$16)))</f>
        <v>0</v>
      </c>
      <c r="C119" s="18">
        <f>$F$16*$F$17/4</f>
        <v>0</v>
      </c>
      <c r="D119" s="18">
        <f>+B119-C119</f>
        <v>0</v>
      </c>
      <c r="E119" s="18">
        <f>$F$16-D119</f>
        <v>0</v>
      </c>
      <c r="F119" s="21">
        <f>D119</f>
        <v>0</v>
      </c>
      <c r="H119" s="26" t="s">
        <v>18</v>
      </c>
      <c r="I119" s="18">
        <f>IF($F$23&lt;1,0,IF($F$26&gt;=1,J119,PMT($F$24/4,($F$25-$F$26)*4,-$F$23)))</f>
        <v>0</v>
      </c>
      <c r="J119" s="18">
        <f>$F$23*$F$24/4</f>
        <v>0</v>
      </c>
      <c r="K119" s="18">
        <f>+I119-J119</f>
        <v>0</v>
      </c>
      <c r="L119" s="18">
        <f>$F$23-K119</f>
        <v>0</v>
      </c>
      <c r="M119" s="21">
        <f>K119</f>
        <v>0</v>
      </c>
    </row>
    <row r="120" spans="1:13" s="27" customFormat="1" ht="29.25" customHeight="1">
      <c r="A120" s="26" t="s">
        <v>19</v>
      </c>
      <c r="B120" s="18">
        <f>IF($F$16&lt;1,0,IF($F$19&gt;=1,C120,PMT($F$17/4,($F$18-$F$19)*4,-$F$16)))</f>
        <v>0</v>
      </c>
      <c r="C120" s="18">
        <f>E119*$F$17/4</f>
        <v>0</v>
      </c>
      <c r="D120" s="18">
        <f>+B120-C120</f>
        <v>0</v>
      </c>
      <c r="E120" s="18">
        <f>E119-D120</f>
        <v>0</v>
      </c>
      <c r="F120" s="21">
        <f>F119+D120</f>
        <v>0</v>
      </c>
      <c r="H120" s="26" t="s">
        <v>19</v>
      </c>
      <c r="I120" s="18">
        <f>IF($F$23&lt;1,0,IF($F$26&gt;=1,J120,PMT($F$24/4,($F$25-$F$26)*4,-$F$23)))</f>
        <v>0</v>
      </c>
      <c r="J120" s="18">
        <f>L119*$F$24/4</f>
        <v>0</v>
      </c>
      <c r="K120" s="18">
        <f>+I120-J120</f>
        <v>0</v>
      </c>
      <c r="L120" s="18">
        <f>L119-K120</f>
        <v>0</v>
      </c>
      <c r="M120" s="21">
        <f>M119+K120</f>
        <v>0</v>
      </c>
    </row>
    <row r="121" spans="1:13" s="16" customFormat="1" ht="16.5">
      <c r="A121" s="26" t="s">
        <v>20</v>
      </c>
      <c r="B121" s="18">
        <f>IF($F$16&lt;1,0,IF($F$19&gt;=1,C121,PMT($F$17/4,($F$18-$F$19)*4,-$F$16)))</f>
        <v>0</v>
      </c>
      <c r="C121" s="18">
        <f>E120*$F$17/4</f>
        <v>0</v>
      </c>
      <c r="D121" s="18">
        <f>+B121-C121</f>
        <v>0</v>
      </c>
      <c r="E121" s="18">
        <f>E120-D121</f>
        <v>0</v>
      </c>
      <c r="F121" s="21">
        <f>F120+D121</f>
        <v>0</v>
      </c>
      <c r="H121" s="26" t="s">
        <v>20</v>
      </c>
      <c r="I121" s="18">
        <f>IF($F$23&lt;1,0,IF($F$26&gt;=1,J121,PMT($F$24/4,($F$25-$F$26)*4,-$F$23)))</f>
        <v>0</v>
      </c>
      <c r="J121" s="18">
        <f>L120*$F$24/4</f>
        <v>0</v>
      </c>
      <c r="K121" s="18">
        <f>+I121-J121</f>
        <v>0</v>
      </c>
      <c r="L121" s="18">
        <f>L120-K121</f>
        <v>0</v>
      </c>
      <c r="M121" s="21">
        <f>M120+K121</f>
        <v>0</v>
      </c>
    </row>
    <row r="122" spans="1:13" s="16" customFormat="1" ht="16.5">
      <c r="A122" s="26" t="s">
        <v>21</v>
      </c>
      <c r="B122" s="18">
        <f>IF($F$16&lt;1,0,IF($F$19&gt;=1,C122,PMT($F$17/4,($F$18-$F$19)*4,-$F$16)))</f>
        <v>0</v>
      </c>
      <c r="C122" s="18">
        <f>E121*$F$17/4</f>
        <v>0</v>
      </c>
      <c r="D122" s="18">
        <f>+B122-C122</f>
        <v>0</v>
      </c>
      <c r="E122" s="18">
        <f>E121-D122</f>
        <v>0</v>
      </c>
      <c r="F122" s="21">
        <f>F121+D122</f>
        <v>0</v>
      </c>
      <c r="H122" s="26" t="s">
        <v>21</v>
      </c>
      <c r="I122" s="18">
        <f>IF($F$23&lt;1,0,IF($F$26&gt;=1,J122,PMT($F$24/4,($F$25-$F$26)*4,-$F$23)))</f>
        <v>0</v>
      </c>
      <c r="J122" s="18">
        <f>L121*$F$24/4</f>
        <v>0</v>
      </c>
      <c r="K122" s="18">
        <f>+I122-J122</f>
        <v>0</v>
      </c>
      <c r="L122" s="18">
        <f>L121-K122</f>
        <v>0</v>
      </c>
      <c r="M122" s="21">
        <f>M121+K122</f>
        <v>0</v>
      </c>
    </row>
    <row r="123" spans="1:13" s="16" customFormat="1" ht="16.5">
      <c r="A123" s="28" t="s">
        <v>22</v>
      </c>
      <c r="B123" s="29">
        <f>SUM(B119:B122)</f>
        <v>0</v>
      </c>
      <c r="C123" s="29">
        <f>SUM(C119:C122)</f>
        <v>0</v>
      </c>
      <c r="D123" s="29">
        <f>SUM(D119:D122)</f>
        <v>0</v>
      </c>
      <c r="E123" s="29"/>
      <c r="F123" s="30"/>
      <c r="H123" s="28" t="s">
        <v>22</v>
      </c>
      <c r="I123" s="29">
        <f>SUM(I119:I122)</f>
        <v>0</v>
      </c>
      <c r="J123" s="29">
        <f>SUM(J119:J122)</f>
        <v>0</v>
      </c>
      <c r="K123" s="29">
        <f>SUM(K119:K122)</f>
        <v>0</v>
      </c>
      <c r="L123" s="29"/>
      <c r="M123" s="30"/>
    </row>
    <row r="124" spans="1:13" s="16" customFormat="1" ht="16.5">
      <c r="A124" s="26" t="s">
        <v>23</v>
      </c>
      <c r="B124" s="18">
        <f>IF($F$16&lt;1,0,IF($F$19&gt;=2,C124,PMT($F$17/4,($F$18-$F$19)*4,-$F$16)))</f>
        <v>0</v>
      </c>
      <c r="C124" s="18">
        <f>E122*$F$17/4</f>
        <v>0</v>
      </c>
      <c r="D124" s="18">
        <f>+B124-C124</f>
        <v>0</v>
      </c>
      <c r="E124" s="18">
        <f>+E122-D124</f>
        <v>0</v>
      </c>
      <c r="F124" s="21">
        <f>+F122+D124</f>
        <v>0</v>
      </c>
      <c r="H124" s="26" t="s">
        <v>23</v>
      </c>
      <c r="I124" s="18">
        <f>IF($F$23&lt;1,0,IF($F$26&gt;=2,J124,PMT($F$24/4,($F$25-$F$26)*4,-$F$23)))</f>
        <v>0</v>
      </c>
      <c r="J124" s="18">
        <f>L122*$F$24/4</f>
        <v>0</v>
      </c>
      <c r="K124" s="18">
        <f>+I124-J124</f>
        <v>0</v>
      </c>
      <c r="L124" s="18">
        <f>+L122-K124</f>
        <v>0</v>
      </c>
      <c r="M124" s="21">
        <f>+M122+K124</f>
        <v>0</v>
      </c>
    </row>
    <row r="125" spans="1:13" s="27" customFormat="1" ht="29.25" customHeight="1">
      <c r="A125" s="26" t="s">
        <v>24</v>
      </c>
      <c r="B125" s="18">
        <f>IF($F$16&lt;1,0,IF($F$19&gt;=2,C125,PMT($F$17/4,($F$18-$F$19)*4,-$F$16)))</f>
        <v>0</v>
      </c>
      <c r="C125" s="18">
        <f>+E124*$F$17/4</f>
        <v>0</v>
      </c>
      <c r="D125" s="18">
        <f>+B125-C125</f>
        <v>0</v>
      </c>
      <c r="E125" s="18">
        <f>+E124-D125</f>
        <v>0</v>
      </c>
      <c r="F125" s="21">
        <f>+F124+D125</f>
        <v>0</v>
      </c>
      <c r="H125" s="26" t="s">
        <v>24</v>
      </c>
      <c r="I125" s="18">
        <f>IF($F$23&lt;1,0,IF($F$26&gt;=2,J125,PMT($F$24/4,($F$25-$F$26)*4,-$F$23)))</f>
        <v>0</v>
      </c>
      <c r="J125" s="18">
        <f>+L124*$F$24/4</f>
        <v>0</v>
      </c>
      <c r="K125" s="18">
        <f>+I125-J125</f>
        <v>0</v>
      </c>
      <c r="L125" s="18">
        <f>+L124-K125</f>
        <v>0</v>
      </c>
      <c r="M125" s="21">
        <f>+M124+K125</f>
        <v>0</v>
      </c>
    </row>
    <row r="126" spans="1:13" s="16" customFormat="1" ht="16.5">
      <c r="A126" s="26" t="s">
        <v>25</v>
      </c>
      <c r="B126" s="18">
        <f>IF($F$16&lt;1,0,IF($F$19&gt;=2,C126,PMT($F$17/4,($F$18-$F$19)*4,-$F$16)))</f>
        <v>0</v>
      </c>
      <c r="C126" s="18">
        <f>+E125*$F$17/4</f>
        <v>0</v>
      </c>
      <c r="D126" s="18">
        <f>+B126-C126</f>
        <v>0</v>
      </c>
      <c r="E126" s="18">
        <f>+E125-D126</f>
        <v>0</v>
      </c>
      <c r="F126" s="21">
        <f>+F125+D126</f>
        <v>0</v>
      </c>
      <c r="H126" s="26" t="s">
        <v>25</v>
      </c>
      <c r="I126" s="18">
        <f>IF($F$23&lt;1,0,IF($F$26&gt;=2,J126,PMT($F$24/4,($F$25-$F$26)*4,-$F$23)))</f>
        <v>0</v>
      </c>
      <c r="J126" s="18">
        <f>+L125*$F$24/4</f>
        <v>0</v>
      </c>
      <c r="K126" s="18">
        <f>+I126-J126</f>
        <v>0</v>
      </c>
      <c r="L126" s="18">
        <f>+L125-K126</f>
        <v>0</v>
      </c>
      <c r="M126" s="21">
        <f>+M125+K126</f>
        <v>0</v>
      </c>
    </row>
    <row r="127" spans="1:13" s="16" customFormat="1" ht="16.5">
      <c r="A127" s="26" t="s">
        <v>26</v>
      </c>
      <c r="B127" s="18">
        <f>IF($F$16&lt;1,0,IF($F$19&gt;=2,C127,PMT($F$17/4,($F$18-$F$19)*4,-$F$16)))</f>
        <v>0</v>
      </c>
      <c r="C127" s="18">
        <f>+E126*$F$17/4</f>
        <v>0</v>
      </c>
      <c r="D127" s="18">
        <f>+B127-C127</f>
        <v>0</v>
      </c>
      <c r="E127" s="18">
        <f>+E126-D127</f>
        <v>0</v>
      </c>
      <c r="F127" s="21">
        <f>+F126+D127</f>
        <v>0</v>
      </c>
      <c r="H127" s="26" t="s">
        <v>26</v>
      </c>
      <c r="I127" s="18">
        <f>IF($F$23&lt;1,0,IF($F$26&gt;=2,J127,PMT($F$24/4,($F$25-$F$26)*4,-$F$23)))</f>
        <v>0</v>
      </c>
      <c r="J127" s="18">
        <f>+L126*$F$24/4</f>
        <v>0</v>
      </c>
      <c r="K127" s="18">
        <f>+I127-J127</f>
        <v>0</v>
      </c>
      <c r="L127" s="18">
        <f>+L126-K127</f>
        <v>0</v>
      </c>
      <c r="M127" s="21">
        <f>+M126+K127</f>
        <v>0</v>
      </c>
    </row>
    <row r="128" spans="1:13" s="16" customFormat="1" ht="16.5">
      <c r="A128" s="28" t="s">
        <v>27</v>
      </c>
      <c r="B128" s="29">
        <f>SUM(B124:B127)</f>
        <v>0</v>
      </c>
      <c r="C128" s="29">
        <f>SUM(C124:C127)</f>
        <v>0</v>
      </c>
      <c r="D128" s="29">
        <f>SUM(D124:D127)</f>
        <v>0</v>
      </c>
      <c r="E128" s="29"/>
      <c r="F128" s="30"/>
      <c r="H128" s="28" t="s">
        <v>27</v>
      </c>
      <c r="I128" s="29">
        <f>SUM(I124:I127)</f>
        <v>0</v>
      </c>
      <c r="J128" s="29">
        <f>SUM(J124:J127)</f>
        <v>0</v>
      </c>
      <c r="K128" s="29">
        <f>SUM(K124:K127)</f>
        <v>0</v>
      </c>
      <c r="L128" s="29"/>
      <c r="M128" s="30"/>
    </row>
    <row r="129" spans="1:13" s="16" customFormat="1" ht="16.5">
      <c r="A129" s="26" t="s">
        <v>28</v>
      </c>
      <c r="B129" s="18">
        <f>IF($F$16&lt;1,0,IF($F$18&lt;3,0,PMT($F$17/4,($F$18-$F$19)*4,-$F$16)))</f>
        <v>0</v>
      </c>
      <c r="C129" s="18">
        <f>E127*$F$17/4</f>
        <v>0</v>
      </c>
      <c r="D129" s="18">
        <f>+B129-C129</f>
        <v>0</v>
      </c>
      <c r="E129" s="18">
        <f>+E127-D129</f>
        <v>0</v>
      </c>
      <c r="F129" s="21">
        <f>+F127+D129</f>
        <v>0</v>
      </c>
      <c r="H129" s="26" t="s">
        <v>28</v>
      </c>
      <c r="I129" s="18">
        <f>IF($F$23&lt;1,0,IF($F$25&lt;3,0,PMT($F$24/4,($F$25-$F$26)*4,-$F$23)))</f>
        <v>0</v>
      </c>
      <c r="J129" s="18">
        <f>L127*$F$24/4</f>
        <v>0</v>
      </c>
      <c r="K129" s="18">
        <f>+I129-J129</f>
        <v>0</v>
      </c>
      <c r="L129" s="18">
        <f>+L127-K129</f>
        <v>0</v>
      </c>
      <c r="M129" s="21">
        <f>+M127+K129</f>
        <v>0</v>
      </c>
    </row>
    <row r="130" spans="1:13" s="27" customFormat="1" ht="29.25" customHeight="1">
      <c r="A130" s="26" t="s">
        <v>29</v>
      </c>
      <c r="B130" s="18">
        <f>IF($F$16&lt;1,0,IF($F$18&lt;3,0,PMT($F$17/4,($F$18-$F$19)*4,-$F$16)))</f>
        <v>0</v>
      </c>
      <c r="C130" s="18">
        <f>E129*$F$17/4</f>
        <v>0</v>
      </c>
      <c r="D130" s="18">
        <f>+B130-C130</f>
        <v>0</v>
      </c>
      <c r="E130" s="18">
        <f>+E129-D130</f>
        <v>0</v>
      </c>
      <c r="F130" s="21">
        <f>+F129+D130</f>
        <v>0</v>
      </c>
      <c r="H130" s="26" t="s">
        <v>29</v>
      </c>
      <c r="I130" s="18">
        <f>IF($F$23&lt;1,0,IF($F$25&lt;3,0,PMT($F$24/4,($F$25-$F$26)*4,-$F$23)))</f>
        <v>0</v>
      </c>
      <c r="J130" s="18">
        <f>L129*$F$24/4</f>
        <v>0</v>
      </c>
      <c r="K130" s="18">
        <f>+I130-J130</f>
        <v>0</v>
      </c>
      <c r="L130" s="18">
        <f>+L129-K130</f>
        <v>0</v>
      </c>
      <c r="M130" s="21">
        <f>+M129+K130</f>
        <v>0</v>
      </c>
    </row>
    <row r="131" spans="1:13" s="16" customFormat="1" ht="16.5">
      <c r="A131" s="26" t="s">
        <v>30</v>
      </c>
      <c r="B131" s="18">
        <f>IF($F$16&lt;1,0,IF($F$18&lt;3,0,PMT($F$17/4,($F$18-$F$19)*4,-$F$16)))</f>
        <v>0</v>
      </c>
      <c r="C131" s="18">
        <f>+E130*$F$17/4</f>
        <v>0</v>
      </c>
      <c r="D131" s="18">
        <f>+B131-C131</f>
        <v>0</v>
      </c>
      <c r="E131" s="18">
        <f>+E130-D131</f>
        <v>0</v>
      </c>
      <c r="F131" s="21">
        <f>+F130+D131</f>
        <v>0</v>
      </c>
      <c r="H131" s="26" t="s">
        <v>30</v>
      </c>
      <c r="I131" s="18">
        <f>IF($F$23&lt;1,0,IF($F$25&lt;3,0,PMT($F$24/4,($F$25-$F$26)*4,-$F$23)))</f>
        <v>0</v>
      </c>
      <c r="J131" s="18">
        <f>+L130*$F$24/4</f>
        <v>0</v>
      </c>
      <c r="K131" s="18">
        <f>+I131-J131</f>
        <v>0</v>
      </c>
      <c r="L131" s="18">
        <f>+L130-K131</f>
        <v>0</v>
      </c>
      <c r="M131" s="21">
        <f>+M130+K131</f>
        <v>0</v>
      </c>
    </row>
    <row r="132" spans="1:13" s="16" customFormat="1" ht="16.5">
      <c r="A132" s="26" t="s">
        <v>31</v>
      </c>
      <c r="B132" s="18">
        <f>IF($F$16&lt;1,0,IF($F$18&lt;3,0,PMT($F$17/4,($F$18-$F$19)*4,-$F$16)))</f>
        <v>0</v>
      </c>
      <c r="C132" s="18">
        <f>+E131*$F$17/4</f>
        <v>0</v>
      </c>
      <c r="D132" s="18">
        <f>+B132-C132</f>
        <v>0</v>
      </c>
      <c r="E132" s="18">
        <f>+E131-D132</f>
        <v>0</v>
      </c>
      <c r="F132" s="21">
        <f>+F131+D132</f>
        <v>0</v>
      </c>
      <c r="H132" s="26" t="s">
        <v>31</v>
      </c>
      <c r="I132" s="18">
        <f>IF($F$23&lt;1,0,IF($F$25&lt;3,0,PMT($F$24/4,($F$25-$F$26)*4,-$F$23)))</f>
        <v>0</v>
      </c>
      <c r="J132" s="18">
        <f>+L131*$F$24/4</f>
        <v>0</v>
      </c>
      <c r="K132" s="18">
        <f>+I132-J132</f>
        <v>0</v>
      </c>
      <c r="L132" s="18">
        <f>+L131-K132</f>
        <v>0</v>
      </c>
      <c r="M132" s="21">
        <f>+M131+K132</f>
        <v>0</v>
      </c>
    </row>
    <row r="133" spans="1:13" s="16" customFormat="1" ht="16.5">
      <c r="A133" s="28" t="s">
        <v>32</v>
      </c>
      <c r="B133" s="29">
        <f>SUM(B129:B132)</f>
        <v>0</v>
      </c>
      <c r="C133" s="29">
        <f>SUM(C129:C132)</f>
        <v>0</v>
      </c>
      <c r="D133" s="29">
        <f>SUM(D129:D132)</f>
        <v>0</v>
      </c>
      <c r="E133" s="29"/>
      <c r="F133" s="30"/>
      <c r="H133" s="28" t="s">
        <v>32</v>
      </c>
      <c r="I133" s="29">
        <f>SUM(I129:I132)</f>
        <v>0</v>
      </c>
      <c r="J133" s="29">
        <f>SUM(J129:J132)</f>
        <v>0</v>
      </c>
      <c r="K133" s="29">
        <f>SUM(K129:K132)</f>
        <v>0</v>
      </c>
      <c r="L133" s="29"/>
      <c r="M133" s="30"/>
    </row>
    <row r="134" spans="1:13" ht="18.75" thickBot="1">
      <c r="A134" s="31" t="s">
        <v>33</v>
      </c>
      <c r="B134" s="32">
        <f>B123+B128+B133</f>
        <v>0</v>
      </c>
      <c r="C134" s="32">
        <f>C123+C128+C133</f>
        <v>0</v>
      </c>
      <c r="D134" s="32">
        <f>D123+D128+D133</f>
        <v>0</v>
      </c>
      <c r="E134" s="32"/>
      <c r="F134" s="36"/>
      <c r="H134" s="31" t="s">
        <v>33</v>
      </c>
      <c r="I134" s="32">
        <f>I123+I128+I133</f>
        <v>0</v>
      </c>
      <c r="J134" s="32">
        <f>J123+J128+J133</f>
        <v>0</v>
      </c>
      <c r="K134" s="32">
        <f>K123+K128+K133</f>
        <v>0</v>
      </c>
      <c r="L134" s="32"/>
      <c r="M134" s="36"/>
    </row>
    <row r="135" spans="1:13">
      <c r="I135" s="35"/>
    </row>
    <row r="136" spans="1:13" s="16" customFormat="1" ht="288">
      <c r="A136" s="128" t="s">
        <v>176</v>
      </c>
      <c r="B136" s="129" t="s">
        <v>4</v>
      </c>
      <c r="C136" s="129" t="s">
        <v>5</v>
      </c>
      <c r="D136" s="129" t="s">
        <v>190</v>
      </c>
      <c r="E136" s="129" t="s">
        <v>6</v>
      </c>
      <c r="F136" s="130" t="s">
        <v>7</v>
      </c>
      <c r="H136" s="128" t="s">
        <v>176</v>
      </c>
      <c r="I136" s="129" t="s">
        <v>4</v>
      </c>
      <c r="J136" s="129" t="s">
        <v>5</v>
      </c>
      <c r="K136" s="129" t="s">
        <v>190</v>
      </c>
      <c r="L136" s="129" t="s">
        <v>6</v>
      </c>
      <c r="M136" s="130" t="s">
        <v>7</v>
      </c>
    </row>
    <row r="137" spans="1:13" s="16" customFormat="1" ht="16.5">
      <c r="A137" s="26" t="s">
        <v>23</v>
      </c>
      <c r="B137" s="18">
        <f>IF($G$16&lt;1,0,IF($G$19&gt;=1,C137,PMT($G$17/4,($G$18-$G$19)*4,-$G$16)))</f>
        <v>0</v>
      </c>
      <c r="C137" s="18">
        <f>$G$16*$G$17/4</f>
        <v>0</v>
      </c>
      <c r="D137" s="18">
        <f>+B137-C137</f>
        <v>0</v>
      </c>
      <c r="E137" s="18">
        <f>$G$16-D137</f>
        <v>0</v>
      </c>
      <c r="F137" s="21">
        <f>D137</f>
        <v>0</v>
      </c>
      <c r="H137" s="26" t="s">
        <v>23</v>
      </c>
      <c r="I137" s="18">
        <f>IF($G$23&lt;1,0,IF($G$26&gt;=1,J137,PMT($G$24/4,($G$25-$G$26)*4,-$G$23)))</f>
        <v>0</v>
      </c>
      <c r="J137" s="18">
        <f>$G$23*$G$24/4</f>
        <v>0</v>
      </c>
      <c r="K137" s="18">
        <f>+I137-J137</f>
        <v>0</v>
      </c>
      <c r="L137" s="18">
        <f>$G$23-K137</f>
        <v>0</v>
      </c>
      <c r="M137" s="21">
        <f>K137</f>
        <v>0</v>
      </c>
    </row>
    <row r="138" spans="1:13" s="27" customFormat="1" ht="29.25" customHeight="1">
      <c r="A138" s="26" t="s">
        <v>24</v>
      </c>
      <c r="B138" s="18">
        <f>IF($G$16&lt;1,0,IF($G$19&gt;=1,C138,PMT($G$17/4,($G$18-$G$19)*4,-$G$16)))</f>
        <v>0</v>
      </c>
      <c r="C138" s="18">
        <f>E137*$G$17/4</f>
        <v>0</v>
      </c>
      <c r="D138" s="18">
        <f>+B138-C138</f>
        <v>0</v>
      </c>
      <c r="E138" s="18">
        <f>E137-D138</f>
        <v>0</v>
      </c>
      <c r="F138" s="21">
        <f>F137+D138</f>
        <v>0</v>
      </c>
      <c r="H138" s="26" t="s">
        <v>24</v>
      </c>
      <c r="I138" s="18">
        <f>IF($G$23&lt;1,0,IF($G$26&gt;=1,J138,PMT($G$24/4,($G$25-$G$26)*4,-$G$23)))</f>
        <v>0</v>
      </c>
      <c r="J138" s="18">
        <f>L137*$G$24/4</f>
        <v>0</v>
      </c>
      <c r="K138" s="18">
        <f>+I138-J138</f>
        <v>0</v>
      </c>
      <c r="L138" s="18">
        <f>L137-K138</f>
        <v>0</v>
      </c>
      <c r="M138" s="21">
        <f>M137+K138</f>
        <v>0</v>
      </c>
    </row>
    <row r="139" spans="1:13" s="16" customFormat="1" ht="16.5">
      <c r="A139" s="26" t="s">
        <v>25</v>
      </c>
      <c r="B139" s="18">
        <f>IF($G$16&lt;1,0,IF($G$19&gt;=1,C139,PMT($G$17/4,($G$18-$G$19)*4,-$G$16)))</f>
        <v>0</v>
      </c>
      <c r="C139" s="18">
        <f>E138*$G$17/4</f>
        <v>0</v>
      </c>
      <c r="D139" s="18">
        <f>+B139-C139</f>
        <v>0</v>
      </c>
      <c r="E139" s="18">
        <f>E138-D139</f>
        <v>0</v>
      </c>
      <c r="F139" s="21">
        <f>F138+D139</f>
        <v>0</v>
      </c>
      <c r="H139" s="26" t="s">
        <v>25</v>
      </c>
      <c r="I139" s="18">
        <f>IF($G$23&lt;1,0,IF($G$26&gt;=1,J139,PMT($G$24/4,($G$25-$G$26)*4,-$G$23)))</f>
        <v>0</v>
      </c>
      <c r="J139" s="18">
        <f>L138*$G$24/4</f>
        <v>0</v>
      </c>
      <c r="K139" s="18">
        <f>+I139-J139</f>
        <v>0</v>
      </c>
      <c r="L139" s="18">
        <f>L138-K139</f>
        <v>0</v>
      </c>
      <c r="M139" s="21">
        <f>M138+K139</f>
        <v>0</v>
      </c>
    </row>
    <row r="140" spans="1:13" s="16" customFormat="1" ht="16.5">
      <c r="A140" s="26" t="s">
        <v>26</v>
      </c>
      <c r="B140" s="18">
        <f>IF($G$16&lt;1,0,IF($G$19&gt;=1,C140,PMT($G$17/4,($G$18-$G$19)*4,-$G$16)))</f>
        <v>0</v>
      </c>
      <c r="C140" s="18">
        <f>E139*$G$17/4</f>
        <v>0</v>
      </c>
      <c r="D140" s="18">
        <f>+B140-C140</f>
        <v>0</v>
      </c>
      <c r="E140" s="18">
        <f>E139-D140</f>
        <v>0</v>
      </c>
      <c r="F140" s="21">
        <f>F139+D140</f>
        <v>0</v>
      </c>
      <c r="H140" s="26" t="s">
        <v>26</v>
      </c>
      <c r="I140" s="18">
        <f>IF($G$23&lt;1,0,IF($G$26&gt;=1,J140,PMT($G$24/4,($G$25-$G$26)*4,-$G$23)))</f>
        <v>0</v>
      </c>
      <c r="J140" s="18">
        <f>L139*$G$24/4</f>
        <v>0</v>
      </c>
      <c r="K140" s="18">
        <f>+I140-J140</f>
        <v>0</v>
      </c>
      <c r="L140" s="18">
        <f>L139-K140</f>
        <v>0</v>
      </c>
      <c r="M140" s="21">
        <f>M139+K140</f>
        <v>0</v>
      </c>
    </row>
    <row r="141" spans="1:13" s="16" customFormat="1" ht="16.5">
      <c r="A141" s="28" t="s">
        <v>27</v>
      </c>
      <c r="B141" s="29">
        <f>SUM(B137:B140)</f>
        <v>0</v>
      </c>
      <c r="C141" s="29">
        <f>SUM(C137:C140)</f>
        <v>0</v>
      </c>
      <c r="D141" s="29">
        <f>SUM(D137:D140)</f>
        <v>0</v>
      </c>
      <c r="E141" s="29"/>
      <c r="F141" s="30"/>
      <c r="H141" s="28" t="s">
        <v>27</v>
      </c>
      <c r="I141" s="29">
        <f>SUM(I137:I140)</f>
        <v>0</v>
      </c>
      <c r="J141" s="29">
        <f>SUM(J137:J140)</f>
        <v>0</v>
      </c>
      <c r="K141" s="29">
        <f>SUM(K137:K140)</f>
        <v>0</v>
      </c>
      <c r="L141" s="29"/>
      <c r="M141" s="30"/>
    </row>
    <row r="142" spans="1:13" s="16" customFormat="1" ht="16.5">
      <c r="A142" s="26" t="s">
        <v>28</v>
      </c>
      <c r="B142" s="18">
        <f>IF($G$16&lt;1,0,IF($G$19&gt;=2,C142,PMT($G$17/4,($G$18-$G$19)*4,-$G$16)))</f>
        <v>0</v>
      </c>
      <c r="C142" s="18">
        <f>E140*$G$17/4</f>
        <v>0</v>
      </c>
      <c r="D142" s="18">
        <f>+B142-C142</f>
        <v>0</v>
      </c>
      <c r="E142" s="18">
        <f>+E140-D142</f>
        <v>0</v>
      </c>
      <c r="F142" s="21">
        <f>+F140+D142</f>
        <v>0</v>
      </c>
      <c r="H142" s="26" t="s">
        <v>28</v>
      </c>
      <c r="I142" s="18">
        <f>IF($G$23&lt;1,0,IF($G$26&gt;=2,J142,PMT($G$24/4,($G$25-$G$26)*4,-$G$23)))</f>
        <v>0</v>
      </c>
      <c r="J142" s="18">
        <f>L140*$G$24/4</f>
        <v>0</v>
      </c>
      <c r="K142" s="18">
        <f>+I142-J142</f>
        <v>0</v>
      </c>
      <c r="L142" s="18">
        <f>+L140-K142</f>
        <v>0</v>
      </c>
      <c r="M142" s="21">
        <f>+M140+K142</f>
        <v>0</v>
      </c>
    </row>
    <row r="143" spans="1:13" s="27" customFormat="1" ht="29.25" customHeight="1">
      <c r="A143" s="26" t="s">
        <v>29</v>
      </c>
      <c r="B143" s="18">
        <f>IF($G$16&lt;1,0,IF($G$19&gt;=2,C143,PMT($G$17/4,($G$18-$G$19)*4,-$G$16)))</f>
        <v>0</v>
      </c>
      <c r="C143" s="18">
        <f>+E142*$G$17/4</f>
        <v>0</v>
      </c>
      <c r="D143" s="18">
        <f>+B143-C143</f>
        <v>0</v>
      </c>
      <c r="E143" s="18">
        <f>+E142-D143</f>
        <v>0</v>
      </c>
      <c r="F143" s="21">
        <f>+F142+D143</f>
        <v>0</v>
      </c>
      <c r="H143" s="26" t="s">
        <v>29</v>
      </c>
      <c r="I143" s="18">
        <f>IF($G$23&lt;1,0,IF($G$26&gt;=2,J143,PMT($G$24/4,($G$25-$G$26)*4,-$G$23)))</f>
        <v>0</v>
      </c>
      <c r="J143" s="18">
        <f>+L142*$G$24/4</f>
        <v>0</v>
      </c>
      <c r="K143" s="18">
        <f>+I143-J143</f>
        <v>0</v>
      </c>
      <c r="L143" s="18">
        <f>+L142-K143</f>
        <v>0</v>
      </c>
      <c r="M143" s="21">
        <f>+M142+K143</f>
        <v>0</v>
      </c>
    </row>
    <row r="144" spans="1:13" s="16" customFormat="1" ht="16.5">
      <c r="A144" s="26" t="s">
        <v>30</v>
      </c>
      <c r="B144" s="18">
        <f>IF($G$16&lt;1,0,IF($G$19&gt;=2,C144,PMT($G$17/4,($G$18-$G$19)*4,-$G$16)))</f>
        <v>0</v>
      </c>
      <c r="C144" s="18">
        <f>+E143*$G$17/4</f>
        <v>0</v>
      </c>
      <c r="D144" s="18">
        <f>+B144-C144</f>
        <v>0</v>
      </c>
      <c r="E144" s="18">
        <f>+E143-D144</f>
        <v>0</v>
      </c>
      <c r="F144" s="21">
        <f>+F143+D144</f>
        <v>0</v>
      </c>
      <c r="H144" s="26" t="s">
        <v>30</v>
      </c>
      <c r="I144" s="18">
        <f>IF($G$23&lt;1,0,IF($G$26&gt;=2,J144,PMT($G$24/4,($G$25-$G$26)*4,-$G$23)))</f>
        <v>0</v>
      </c>
      <c r="J144" s="18">
        <f>+L143*$G$24/4</f>
        <v>0</v>
      </c>
      <c r="K144" s="18">
        <f>+I144-J144</f>
        <v>0</v>
      </c>
      <c r="L144" s="18">
        <f>+L143-K144</f>
        <v>0</v>
      </c>
      <c r="M144" s="21">
        <f>+M143+K144</f>
        <v>0</v>
      </c>
    </row>
    <row r="145" spans="1:13" s="16" customFormat="1" ht="16.5">
      <c r="A145" s="26" t="s">
        <v>31</v>
      </c>
      <c r="B145" s="18">
        <f>IF($G$16&lt;1,0,IF($G$19&gt;=2,C145,PMT($G$17/4,($G$18-$G$19)*4,-$G$16)))</f>
        <v>0</v>
      </c>
      <c r="C145" s="18">
        <f>+E144*$G$17/4</f>
        <v>0</v>
      </c>
      <c r="D145" s="18">
        <f>+B145-C145</f>
        <v>0</v>
      </c>
      <c r="E145" s="18">
        <f>+E144-D145</f>
        <v>0</v>
      </c>
      <c r="F145" s="21">
        <f>+F144+D145</f>
        <v>0</v>
      </c>
      <c r="H145" s="26" t="s">
        <v>31</v>
      </c>
      <c r="I145" s="18">
        <f>IF($G$23&lt;1,0,IF($G$26&gt;=2,J145,PMT($G$24/4,($G$25-$G$26)*4,-$G$23)))</f>
        <v>0</v>
      </c>
      <c r="J145" s="18">
        <f>+L144*$G$24/4</f>
        <v>0</v>
      </c>
      <c r="K145" s="18">
        <f>+I145-J145</f>
        <v>0</v>
      </c>
      <c r="L145" s="18">
        <f>+L144-K145</f>
        <v>0</v>
      </c>
      <c r="M145" s="21">
        <f>+M144+K145</f>
        <v>0</v>
      </c>
    </row>
    <row r="146" spans="1:13" s="16" customFormat="1" ht="16.5">
      <c r="A146" s="28" t="s">
        <v>32</v>
      </c>
      <c r="B146" s="29">
        <f>SUM(B142:B145)</f>
        <v>0</v>
      </c>
      <c r="C146" s="29">
        <f>SUM(C142:C145)</f>
        <v>0</v>
      </c>
      <c r="D146" s="29">
        <f>SUM(D142:D145)</f>
        <v>0</v>
      </c>
      <c r="E146" s="29"/>
      <c r="F146" s="30"/>
      <c r="H146" s="28" t="s">
        <v>32</v>
      </c>
      <c r="I146" s="29">
        <f>SUM(I142:I145)</f>
        <v>0</v>
      </c>
      <c r="J146" s="29">
        <f>SUM(J142:J145)</f>
        <v>0</v>
      </c>
      <c r="K146" s="29">
        <f>SUM(K142:K145)</f>
        <v>0</v>
      </c>
      <c r="L146" s="29"/>
      <c r="M146" s="30"/>
    </row>
    <row r="147" spans="1:13" ht="18.75" thickBot="1">
      <c r="A147" s="31" t="s">
        <v>33</v>
      </c>
      <c r="B147" s="32">
        <f>B141+B146</f>
        <v>0</v>
      </c>
      <c r="C147" s="32">
        <f>C141+C146</f>
        <v>0</v>
      </c>
      <c r="D147" s="32">
        <f>D141+D146</f>
        <v>0</v>
      </c>
      <c r="E147" s="32"/>
      <c r="F147" s="36"/>
      <c r="H147" s="31" t="s">
        <v>33</v>
      </c>
      <c r="I147" s="32">
        <f>I141+I146</f>
        <v>0</v>
      </c>
      <c r="J147" s="32">
        <f>J141+J146</f>
        <v>0</v>
      </c>
      <c r="K147" s="32">
        <f>K141+K146</f>
        <v>0</v>
      </c>
      <c r="L147" s="32"/>
      <c r="M147" s="36"/>
    </row>
    <row r="148" spans="1:13">
      <c r="I148" s="35"/>
    </row>
    <row r="149" spans="1:13" s="16" customFormat="1" ht="288">
      <c r="A149" s="128" t="s">
        <v>177</v>
      </c>
      <c r="B149" s="129" t="s">
        <v>4</v>
      </c>
      <c r="C149" s="129" t="s">
        <v>5</v>
      </c>
      <c r="D149" s="129" t="s">
        <v>190</v>
      </c>
      <c r="E149" s="129" t="s">
        <v>6</v>
      </c>
      <c r="F149" s="130" t="s">
        <v>7</v>
      </c>
      <c r="H149" s="128" t="s">
        <v>177</v>
      </c>
      <c r="I149" s="129" t="s">
        <v>4</v>
      </c>
      <c r="J149" s="129" t="s">
        <v>5</v>
      </c>
      <c r="K149" s="129" t="s">
        <v>190</v>
      </c>
      <c r="L149" s="129" t="s">
        <v>6</v>
      </c>
      <c r="M149" s="130" t="s">
        <v>7</v>
      </c>
    </row>
    <row r="150" spans="1:13" s="16" customFormat="1" ht="16.5">
      <c r="A150" s="26" t="s">
        <v>28</v>
      </c>
      <c r="B150" s="18">
        <f>IF($H$16&lt;1,0,IF($H$19&gt;=1,C150,PMT($H$17/4,($H$18-$H$19)*4,-$H$16)))</f>
        <v>0</v>
      </c>
      <c r="C150" s="18">
        <f>$H$16*$H$17/4</f>
        <v>0</v>
      </c>
      <c r="D150" s="18">
        <f>+B150-C150</f>
        <v>0</v>
      </c>
      <c r="E150" s="18">
        <f>$H$16-D150</f>
        <v>0</v>
      </c>
      <c r="F150" s="21">
        <f>D150</f>
        <v>0</v>
      </c>
      <c r="H150" s="26" t="s">
        <v>28</v>
      </c>
      <c r="I150" s="18">
        <f>IF($H$23&lt;1,0,IF($H$26&gt;=1,J150,PMT($H$24/4,($H$25-$H$26)*4,-$H$23)))</f>
        <v>0</v>
      </c>
      <c r="J150" s="18">
        <f>$H$23*$H$24/4</f>
        <v>0</v>
      </c>
      <c r="K150" s="18">
        <f>+I150-J150</f>
        <v>0</v>
      </c>
      <c r="L150" s="18">
        <f>$H$23-K150</f>
        <v>0</v>
      </c>
      <c r="M150" s="21">
        <f>K150</f>
        <v>0</v>
      </c>
    </row>
    <row r="151" spans="1:13" s="27" customFormat="1" ht="29.25" customHeight="1">
      <c r="A151" s="26" t="s">
        <v>29</v>
      </c>
      <c r="B151" s="18">
        <f>IF($H$16&lt;1,0,IF($H$19&gt;=1,C151,PMT($H$17/4,($H$18-$H$19)*4,-$H$16)))</f>
        <v>0</v>
      </c>
      <c r="C151" s="18">
        <f>E150*$H$17/4</f>
        <v>0</v>
      </c>
      <c r="D151" s="18">
        <f>+B151-C151</f>
        <v>0</v>
      </c>
      <c r="E151" s="18">
        <f>E150-D151</f>
        <v>0</v>
      </c>
      <c r="F151" s="21">
        <f>F150+D151</f>
        <v>0</v>
      </c>
      <c r="H151" s="26" t="s">
        <v>29</v>
      </c>
      <c r="I151" s="18">
        <f>IF($H$23&lt;1,0,IF($H$26&gt;=1,J151,PMT($H$24/4,($H$25-$H$26)*4,-$H$23)))</f>
        <v>0</v>
      </c>
      <c r="J151" s="18">
        <f>L150*$H$24/4</f>
        <v>0</v>
      </c>
      <c r="K151" s="18">
        <f>+I151-J151</f>
        <v>0</v>
      </c>
      <c r="L151" s="18">
        <f>L150-K151</f>
        <v>0</v>
      </c>
      <c r="M151" s="21">
        <f>M150+K151</f>
        <v>0</v>
      </c>
    </row>
    <row r="152" spans="1:13" s="16" customFormat="1" ht="16.5">
      <c r="A152" s="26" t="s">
        <v>30</v>
      </c>
      <c r="B152" s="18">
        <f>IF($H$16&lt;1,0,IF($H$19&gt;=1,C152,PMT($H$17/4,($H$18-$H$19)*4,-$H$16)))</f>
        <v>0</v>
      </c>
      <c r="C152" s="18">
        <f>E151*$H$17/4</f>
        <v>0</v>
      </c>
      <c r="D152" s="18">
        <f>+B152-C152</f>
        <v>0</v>
      </c>
      <c r="E152" s="18">
        <f>E151-D152</f>
        <v>0</v>
      </c>
      <c r="F152" s="21">
        <f>F151+D152</f>
        <v>0</v>
      </c>
      <c r="H152" s="26" t="s">
        <v>30</v>
      </c>
      <c r="I152" s="18">
        <f>IF($H$23&lt;1,0,IF($H$26&gt;=1,J152,PMT($H$24/4,($H$25-$H$26)*4,-$H$23)))</f>
        <v>0</v>
      </c>
      <c r="J152" s="18">
        <f>L151*$H$24/4</f>
        <v>0</v>
      </c>
      <c r="K152" s="18">
        <f>+I152-J152</f>
        <v>0</v>
      </c>
      <c r="L152" s="18">
        <f>L151-K152</f>
        <v>0</v>
      </c>
      <c r="M152" s="21">
        <f>M151+K152</f>
        <v>0</v>
      </c>
    </row>
    <row r="153" spans="1:13" s="16" customFormat="1" ht="16.5">
      <c r="A153" s="26" t="s">
        <v>31</v>
      </c>
      <c r="B153" s="18">
        <f>IF($H$16&lt;1,0,IF($H$19&gt;=1,C153,PMT($H$17/4,($H$18-$H$19)*4,-$H$16)))</f>
        <v>0</v>
      </c>
      <c r="C153" s="18">
        <f>E152*$H$17/4</f>
        <v>0</v>
      </c>
      <c r="D153" s="18">
        <f>+B153-C153</f>
        <v>0</v>
      </c>
      <c r="E153" s="18">
        <f>E152-D153</f>
        <v>0</v>
      </c>
      <c r="F153" s="21">
        <f>F152+D153</f>
        <v>0</v>
      </c>
      <c r="H153" s="26" t="s">
        <v>31</v>
      </c>
      <c r="I153" s="18">
        <f>IF($H$23&lt;1,0,IF($H$26&gt;=1,J153,PMT($H$24/4,($H$25-$H$26)*4,-$H$23)))</f>
        <v>0</v>
      </c>
      <c r="J153" s="18">
        <f>L152*$H$24/4</f>
        <v>0</v>
      </c>
      <c r="K153" s="18">
        <f>+I153-J153</f>
        <v>0</v>
      </c>
      <c r="L153" s="18">
        <f>L152-K153</f>
        <v>0</v>
      </c>
      <c r="M153" s="21">
        <f>M152+K153</f>
        <v>0</v>
      </c>
    </row>
    <row r="154" spans="1:13" s="16" customFormat="1" ht="16.5">
      <c r="A154" s="37" t="s">
        <v>32</v>
      </c>
      <c r="B154" s="38">
        <f>SUM(B150:B153)</f>
        <v>0</v>
      </c>
      <c r="C154" s="38">
        <f>SUM(C150:C153)</f>
        <v>0</v>
      </c>
      <c r="D154" s="38">
        <f>SUM(D150:D153)</f>
        <v>0</v>
      </c>
      <c r="E154" s="38"/>
      <c r="F154" s="39"/>
      <c r="H154" s="37" t="s">
        <v>32</v>
      </c>
      <c r="I154" s="38">
        <f>SUM(I150:I153)</f>
        <v>0</v>
      </c>
      <c r="J154" s="38">
        <f>SUM(J150:J153)</f>
        <v>0</v>
      </c>
      <c r="K154" s="38">
        <f>SUM(K150:K153)</f>
        <v>0</v>
      </c>
      <c r="L154" s="38"/>
      <c r="M154" s="39"/>
    </row>
    <row r="157" spans="1:13" ht="23.25" customHeight="1">
      <c r="A157" s="128" t="s">
        <v>191</v>
      </c>
      <c r="B157" s="129"/>
      <c r="C157" s="129"/>
      <c r="D157" s="130"/>
    </row>
    <row r="158" spans="1:13" ht="36">
      <c r="A158" s="40" t="s">
        <v>192</v>
      </c>
      <c r="B158" s="40" t="s">
        <v>5</v>
      </c>
      <c r="C158" s="40" t="s">
        <v>190</v>
      </c>
      <c r="D158" s="40" t="s">
        <v>6</v>
      </c>
    </row>
    <row r="159" spans="1:13">
      <c r="A159" s="26" t="s">
        <v>8</v>
      </c>
      <c r="B159" s="41">
        <f t="shared" ref="B159:D162" si="1">C68+J68</f>
        <v>0</v>
      </c>
      <c r="C159" s="41">
        <f t="shared" si="1"/>
        <v>0</v>
      </c>
      <c r="D159" s="41">
        <f t="shared" si="1"/>
        <v>0</v>
      </c>
    </row>
    <row r="160" spans="1:13">
      <c r="A160" s="26" t="s">
        <v>9</v>
      </c>
      <c r="B160" s="41">
        <f t="shared" si="1"/>
        <v>0</v>
      </c>
      <c r="C160" s="41">
        <f t="shared" si="1"/>
        <v>0</v>
      </c>
      <c r="D160" s="41">
        <f t="shared" si="1"/>
        <v>0</v>
      </c>
    </row>
    <row r="161" spans="1:4">
      <c r="A161" s="26" t="s">
        <v>10</v>
      </c>
      <c r="B161" s="41">
        <f t="shared" si="1"/>
        <v>0</v>
      </c>
      <c r="C161" s="41">
        <f t="shared" si="1"/>
        <v>0</v>
      </c>
      <c r="D161" s="41">
        <f t="shared" si="1"/>
        <v>0</v>
      </c>
    </row>
    <row r="162" spans="1:4">
      <c r="A162" s="26" t="s">
        <v>11</v>
      </c>
      <c r="B162" s="41">
        <f t="shared" si="1"/>
        <v>0</v>
      </c>
      <c r="C162" s="41">
        <f t="shared" si="1"/>
        <v>0</v>
      </c>
      <c r="D162" s="41">
        <f t="shared" si="1"/>
        <v>0</v>
      </c>
    </row>
    <row r="163" spans="1:4">
      <c r="A163" s="37" t="s">
        <v>12</v>
      </c>
      <c r="B163" s="42">
        <f>SUM(B159:B162)</f>
        <v>0</v>
      </c>
      <c r="C163" s="42">
        <f>SUM(C159:C162)</f>
        <v>0</v>
      </c>
      <c r="D163" s="42"/>
    </row>
    <row r="164" spans="1:4">
      <c r="A164" s="26" t="s">
        <v>13</v>
      </c>
      <c r="B164" s="41">
        <f t="shared" ref="B164:D167" si="2">C73+C96+J73+J96</f>
        <v>0</v>
      </c>
      <c r="C164" s="41">
        <f t="shared" si="2"/>
        <v>0</v>
      </c>
      <c r="D164" s="41">
        <f t="shared" si="2"/>
        <v>0</v>
      </c>
    </row>
    <row r="165" spans="1:4">
      <c r="A165" s="26" t="s">
        <v>14</v>
      </c>
      <c r="B165" s="41">
        <f t="shared" si="2"/>
        <v>0</v>
      </c>
      <c r="C165" s="41">
        <f t="shared" si="2"/>
        <v>0</v>
      </c>
      <c r="D165" s="41">
        <f t="shared" si="2"/>
        <v>0</v>
      </c>
    </row>
    <row r="166" spans="1:4">
      <c r="A166" s="26" t="s">
        <v>15</v>
      </c>
      <c r="B166" s="41">
        <f t="shared" si="2"/>
        <v>0</v>
      </c>
      <c r="C166" s="41">
        <f t="shared" si="2"/>
        <v>0</v>
      </c>
      <c r="D166" s="41">
        <f t="shared" si="2"/>
        <v>0</v>
      </c>
    </row>
    <row r="167" spans="1:4">
      <c r="A167" s="26" t="s">
        <v>16</v>
      </c>
      <c r="B167" s="41">
        <f t="shared" si="2"/>
        <v>0</v>
      </c>
      <c r="C167" s="41">
        <f t="shared" si="2"/>
        <v>0</v>
      </c>
      <c r="D167" s="41">
        <f t="shared" si="2"/>
        <v>0</v>
      </c>
    </row>
    <row r="168" spans="1:4">
      <c r="A168" s="37" t="s">
        <v>17</v>
      </c>
      <c r="B168" s="42">
        <f>SUM(B164:B167)</f>
        <v>0</v>
      </c>
      <c r="C168" s="42">
        <f>SUM(C164:C167)</f>
        <v>0</v>
      </c>
      <c r="D168" s="42"/>
    </row>
    <row r="169" spans="1:4">
      <c r="A169" s="26" t="s">
        <v>18</v>
      </c>
      <c r="B169" s="41">
        <f t="shared" ref="B169:D172" si="3">C78+C101+C119+J78+J101+J119</f>
        <v>0</v>
      </c>
      <c r="C169" s="41">
        <f t="shared" si="3"/>
        <v>0</v>
      </c>
      <c r="D169" s="41">
        <f t="shared" si="3"/>
        <v>0</v>
      </c>
    </row>
    <row r="170" spans="1:4">
      <c r="A170" s="26" t="s">
        <v>19</v>
      </c>
      <c r="B170" s="41">
        <f t="shared" si="3"/>
        <v>0</v>
      </c>
      <c r="C170" s="41">
        <f t="shared" si="3"/>
        <v>0</v>
      </c>
      <c r="D170" s="41">
        <f t="shared" si="3"/>
        <v>0</v>
      </c>
    </row>
    <row r="171" spans="1:4">
      <c r="A171" s="26" t="s">
        <v>20</v>
      </c>
      <c r="B171" s="41">
        <f t="shared" si="3"/>
        <v>0</v>
      </c>
      <c r="C171" s="41">
        <f t="shared" si="3"/>
        <v>0</v>
      </c>
      <c r="D171" s="41">
        <f t="shared" si="3"/>
        <v>0</v>
      </c>
    </row>
    <row r="172" spans="1:4">
      <c r="A172" s="26" t="s">
        <v>21</v>
      </c>
      <c r="B172" s="41">
        <f t="shared" si="3"/>
        <v>0</v>
      </c>
      <c r="C172" s="41">
        <f t="shared" si="3"/>
        <v>0</v>
      </c>
      <c r="D172" s="41">
        <f t="shared" si="3"/>
        <v>0</v>
      </c>
    </row>
    <row r="173" spans="1:4">
      <c r="A173" s="37" t="s">
        <v>22</v>
      </c>
      <c r="B173" s="42">
        <f>SUM(B169:B172)</f>
        <v>0</v>
      </c>
      <c r="C173" s="42">
        <f>SUM(C169:C172)</f>
        <v>0</v>
      </c>
      <c r="D173" s="42"/>
    </row>
    <row r="174" spans="1:4">
      <c r="A174" s="26" t="s">
        <v>23</v>
      </c>
      <c r="B174" s="41">
        <f t="shared" ref="B174:D177" si="4">C83+C106+C124+C137+J83+J106+J124+J137</f>
        <v>0</v>
      </c>
      <c r="C174" s="41">
        <f t="shared" si="4"/>
        <v>0</v>
      </c>
      <c r="D174" s="41">
        <f t="shared" si="4"/>
        <v>0</v>
      </c>
    </row>
    <row r="175" spans="1:4">
      <c r="A175" s="26" t="s">
        <v>24</v>
      </c>
      <c r="B175" s="41">
        <f t="shared" si="4"/>
        <v>0</v>
      </c>
      <c r="C175" s="41">
        <f t="shared" si="4"/>
        <v>0</v>
      </c>
      <c r="D175" s="41">
        <f t="shared" si="4"/>
        <v>0</v>
      </c>
    </row>
    <row r="176" spans="1:4">
      <c r="A176" s="26" t="s">
        <v>25</v>
      </c>
      <c r="B176" s="41">
        <f t="shared" si="4"/>
        <v>0</v>
      </c>
      <c r="C176" s="41">
        <f t="shared" si="4"/>
        <v>0</v>
      </c>
      <c r="D176" s="41">
        <f t="shared" si="4"/>
        <v>0</v>
      </c>
    </row>
    <row r="177" spans="1:4">
      <c r="A177" s="26" t="s">
        <v>26</v>
      </c>
      <c r="B177" s="41">
        <f t="shared" si="4"/>
        <v>0</v>
      </c>
      <c r="C177" s="41">
        <f t="shared" si="4"/>
        <v>0</v>
      </c>
      <c r="D177" s="41">
        <f t="shared" si="4"/>
        <v>0</v>
      </c>
    </row>
    <row r="178" spans="1:4">
      <c r="A178" s="37" t="s">
        <v>27</v>
      </c>
      <c r="B178" s="42">
        <f>SUM(B174:B177)</f>
        <v>0</v>
      </c>
      <c r="C178" s="42">
        <f>SUM(C174:C177)</f>
        <v>0</v>
      </c>
      <c r="D178" s="42"/>
    </row>
    <row r="179" spans="1:4">
      <c r="A179" s="26" t="s">
        <v>28</v>
      </c>
      <c r="B179" s="41">
        <f t="shared" ref="B179:D182" si="5">C88+C111+C129+C142+C150+J88+J111+J129+J142+J150</f>
        <v>0</v>
      </c>
      <c r="C179" s="41">
        <f t="shared" si="5"/>
        <v>0</v>
      </c>
      <c r="D179" s="41">
        <f t="shared" si="5"/>
        <v>0</v>
      </c>
    </row>
    <row r="180" spans="1:4">
      <c r="A180" s="26" t="s">
        <v>29</v>
      </c>
      <c r="B180" s="41">
        <f t="shared" si="5"/>
        <v>0</v>
      </c>
      <c r="C180" s="41">
        <f t="shared" si="5"/>
        <v>0</v>
      </c>
      <c r="D180" s="41">
        <f t="shared" si="5"/>
        <v>0</v>
      </c>
    </row>
    <row r="181" spans="1:4">
      <c r="A181" s="26" t="s">
        <v>30</v>
      </c>
      <c r="B181" s="41">
        <f t="shared" si="5"/>
        <v>0</v>
      </c>
      <c r="C181" s="41">
        <f t="shared" si="5"/>
        <v>0</v>
      </c>
      <c r="D181" s="41">
        <f t="shared" si="5"/>
        <v>0</v>
      </c>
    </row>
    <row r="182" spans="1:4">
      <c r="A182" s="26" t="s">
        <v>31</v>
      </c>
      <c r="B182" s="41">
        <f t="shared" si="5"/>
        <v>0</v>
      </c>
      <c r="C182" s="41">
        <f t="shared" si="5"/>
        <v>0</v>
      </c>
      <c r="D182" s="41">
        <f t="shared" si="5"/>
        <v>0</v>
      </c>
    </row>
    <row r="183" spans="1:4">
      <c r="A183" s="37" t="s">
        <v>32</v>
      </c>
      <c r="B183" s="42">
        <f>SUM(B179:B182)</f>
        <v>0</v>
      </c>
      <c r="C183" s="42">
        <f>SUM(C179:C182)</f>
        <v>0</v>
      </c>
      <c r="D183" s="42"/>
    </row>
  </sheetData>
  <sheetProtection password="A6E9" sheet="1" formatColumns="0"/>
  <phoneticPr fontId="0" type="noConversion"/>
  <printOptions horizontalCentered="1" gridLinesSet="0"/>
  <pageMargins left="0.78740157480314965" right="0.78740157480314965" top="1.1023622047244095" bottom="0.9" header="0.59055118110236227" footer="0.59055118110236227"/>
  <pageSetup paperSize="9" orientation="landscape" horizontalDpi="240" verticalDpi="4294967292" r:id="rId1"/>
  <headerFooter alignWithMargins="0">
    <oddHeader>&amp;C&amp;"Trebuchet MS,Normal"&amp;14&amp;U&amp;A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Button 1">
              <controlPr defaultSize="0" print="0" autoFill="0" autoPict="0" macro="[0]!Inicio">
                <anchor moveWithCells="1" sizeWithCells="1">
                  <from>
                    <xdr:col>0</xdr:col>
                    <xdr:colOff>285750</xdr:colOff>
                    <xdr:row>0</xdr:row>
                    <xdr:rowOff>85725</xdr:rowOff>
                  </from>
                  <to>
                    <xdr:col>0</xdr:col>
                    <xdr:colOff>1476375</xdr:colOff>
                    <xdr:row>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autoPageBreaks="0"/>
  </sheetPr>
  <dimension ref="A1:T65"/>
  <sheetViews>
    <sheetView showGridLines="0" showZeros="0" zoomScaleNormal="100" zoomScaleSheetLayoutView="100" workbookViewId="0">
      <pane xSplit="1" ySplit="4" topLeftCell="B5" activePane="bottomRight" state="frozen"/>
      <selection activeCell="A28" sqref="A28:W29"/>
      <selection pane="topRight" activeCell="A28" sqref="A28:W29"/>
      <selection pane="bottomLeft" activeCell="A28" sqref="A28:W29"/>
      <selection pane="bottomRight" activeCell="C5" sqref="C5"/>
    </sheetView>
  </sheetViews>
  <sheetFormatPr baseColWidth="10" defaultColWidth="0" defaultRowHeight="15"/>
  <cols>
    <col min="1" max="1" width="20.875" style="4" customWidth="1"/>
    <col min="2" max="2" width="20.125" style="4" customWidth="1"/>
    <col min="3" max="4" width="10.625" style="6" customWidth="1"/>
    <col min="5" max="6" width="10.625" style="5" customWidth="1"/>
    <col min="7" max="8" width="10.625" style="4" customWidth="1"/>
    <col min="9" max="10" width="10.625" style="5" customWidth="1"/>
    <col min="11" max="12" width="10.625" style="4" customWidth="1"/>
    <col min="13" max="14" width="10.625" style="5" customWidth="1"/>
    <col min="15" max="16" width="10.625" style="4" customWidth="1"/>
    <col min="17" max="18" width="10.625" style="5" customWidth="1"/>
    <col min="19" max="20" width="10.625" style="4" customWidth="1"/>
    <col min="21" max="21" width="11.25" style="4" customWidth="1"/>
    <col min="22" max="16384" width="0" style="4" hidden="1"/>
  </cols>
  <sheetData>
    <row r="1" spans="1:20" ht="42" customHeight="1" thickBot="1"/>
    <row r="2" spans="1:20" s="1" customFormat="1" ht="39" customHeight="1" thickBot="1">
      <c r="A2" s="995" t="s">
        <v>34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996"/>
      <c r="M2" s="996"/>
      <c r="N2" s="996"/>
      <c r="O2" s="996"/>
      <c r="P2" s="996"/>
      <c r="Q2" s="996"/>
      <c r="R2" s="996"/>
      <c r="S2" s="996"/>
      <c r="T2" s="997"/>
    </row>
    <row r="3" spans="1:20" s="132" customFormat="1" ht="39" customHeight="1">
      <c r="A3" s="131" t="s">
        <v>277</v>
      </c>
      <c r="B3" s="615" t="s">
        <v>231</v>
      </c>
      <c r="C3" s="998" t="s">
        <v>60</v>
      </c>
      <c r="D3" s="999"/>
      <c r="E3" s="998" t="s">
        <v>61</v>
      </c>
      <c r="F3" s="1000"/>
      <c r="G3" s="1000"/>
      <c r="H3" s="999"/>
      <c r="I3" s="998" t="s">
        <v>62</v>
      </c>
      <c r="J3" s="1000"/>
      <c r="K3" s="1000"/>
      <c r="L3" s="999"/>
      <c r="M3" s="998" t="s">
        <v>176</v>
      </c>
      <c r="N3" s="1000"/>
      <c r="O3" s="1000"/>
      <c r="P3" s="999"/>
      <c r="Q3" s="998" t="s">
        <v>177</v>
      </c>
      <c r="R3" s="1000"/>
      <c r="S3" s="1000"/>
      <c r="T3" s="999"/>
    </row>
    <row r="4" spans="1:20" s="621" customFormat="1" ht="33" customHeight="1" thickBot="1">
      <c r="A4" s="616"/>
      <c r="B4" s="617" t="s">
        <v>307</v>
      </c>
      <c r="C4" s="618" t="s">
        <v>194</v>
      </c>
      <c r="D4" s="619" t="s">
        <v>193</v>
      </c>
      <c r="E4" s="618" t="s">
        <v>196</v>
      </c>
      <c r="F4" s="620" t="s">
        <v>194</v>
      </c>
      <c r="G4" s="620" t="s">
        <v>195</v>
      </c>
      <c r="H4" s="619" t="s">
        <v>193</v>
      </c>
      <c r="I4" s="618" t="s">
        <v>196</v>
      </c>
      <c r="J4" s="620" t="s">
        <v>194</v>
      </c>
      <c r="K4" s="620" t="s">
        <v>195</v>
      </c>
      <c r="L4" s="619" t="s">
        <v>193</v>
      </c>
      <c r="M4" s="618" t="s">
        <v>196</v>
      </c>
      <c r="N4" s="620" t="s">
        <v>194</v>
      </c>
      <c r="O4" s="620" t="s">
        <v>195</v>
      </c>
      <c r="P4" s="619" t="s">
        <v>193</v>
      </c>
      <c r="Q4" s="618" t="s">
        <v>196</v>
      </c>
      <c r="R4" s="620" t="s">
        <v>194</v>
      </c>
      <c r="S4" s="620" t="s">
        <v>195</v>
      </c>
      <c r="T4" s="619" t="s">
        <v>193</v>
      </c>
    </row>
    <row r="5" spans="1:20" ht="20.25" customHeight="1">
      <c r="A5" s="538">
        <v>1</v>
      </c>
      <c r="B5" s="340"/>
      <c r="C5" s="341"/>
      <c r="D5" s="740"/>
      <c r="E5" s="743"/>
      <c r="F5" s="133">
        <f>C5*(1+E5)</f>
        <v>0</v>
      </c>
      <c r="G5" s="344"/>
      <c r="H5" s="737">
        <f>D5*(1+G5)</f>
        <v>0</v>
      </c>
      <c r="I5" s="746">
        <f>E5</f>
        <v>0</v>
      </c>
      <c r="J5" s="133">
        <f>F5*(1+I5)</f>
        <v>0</v>
      </c>
      <c r="K5" s="346">
        <f>G5</f>
        <v>0</v>
      </c>
      <c r="L5" s="737">
        <f>H5*(1+K5)</f>
        <v>0</v>
      </c>
      <c r="M5" s="746">
        <f>I5</f>
        <v>0</v>
      </c>
      <c r="N5" s="133">
        <f>J5*(1+M5)</f>
        <v>0</v>
      </c>
      <c r="O5" s="346">
        <f>K5</f>
        <v>0</v>
      </c>
      <c r="P5" s="737">
        <f>L5*(1+O5)</f>
        <v>0</v>
      </c>
      <c r="Q5" s="746">
        <f>M5</f>
        <v>0</v>
      </c>
      <c r="R5" s="133">
        <f>N5*(1+Q5)</f>
        <v>0</v>
      </c>
      <c r="S5" s="346">
        <f>O5</f>
        <v>0</v>
      </c>
      <c r="T5" s="737">
        <f>P5*(1+S5)</f>
        <v>0</v>
      </c>
    </row>
    <row r="6" spans="1:20" ht="20.25" customHeight="1" thickBot="1">
      <c r="A6" s="135"/>
      <c r="B6" s="134" t="s">
        <v>197</v>
      </c>
      <c r="C6" s="343">
        <f>Inicio!$D$25</f>
        <v>0.21</v>
      </c>
      <c r="D6" s="741">
        <f>D5*(1+$C$6)</f>
        <v>0</v>
      </c>
      <c r="E6" s="744"/>
      <c r="F6" s="137"/>
      <c r="G6" s="138"/>
      <c r="H6" s="738">
        <f>H5*(1+$C$6)</f>
        <v>0</v>
      </c>
      <c r="I6" s="744"/>
      <c r="J6" s="137"/>
      <c r="K6" s="137"/>
      <c r="L6" s="738">
        <f>L5*(1+$C$6)</f>
        <v>0</v>
      </c>
      <c r="M6" s="744"/>
      <c r="N6" s="137"/>
      <c r="O6" s="747"/>
      <c r="P6" s="738">
        <f>P5*(1+$C$6)</f>
        <v>0</v>
      </c>
      <c r="Q6" s="744"/>
      <c r="R6" s="137"/>
      <c r="S6" s="137"/>
      <c r="T6" s="738">
        <f>T5*(1+$C$6)</f>
        <v>0</v>
      </c>
    </row>
    <row r="7" spans="1:20" ht="20.25" customHeight="1">
      <c r="A7" s="538">
        <v>1</v>
      </c>
      <c r="B7" s="340"/>
      <c r="C7" s="341"/>
      <c r="D7" s="740"/>
      <c r="E7" s="743"/>
      <c r="F7" s="133">
        <f>C7*(1+E7)</f>
        <v>0</v>
      </c>
      <c r="G7" s="344"/>
      <c r="H7" s="737">
        <f>D7*(1+G7)</f>
        <v>0</v>
      </c>
      <c r="I7" s="746">
        <f>E7</f>
        <v>0</v>
      </c>
      <c r="J7" s="133">
        <f>F7*(1+I7)</f>
        <v>0</v>
      </c>
      <c r="K7" s="346">
        <f>G7</f>
        <v>0</v>
      </c>
      <c r="L7" s="737">
        <f>H7*(1+K7)</f>
        <v>0</v>
      </c>
      <c r="M7" s="746">
        <f>I7</f>
        <v>0</v>
      </c>
      <c r="N7" s="133">
        <f>J7*(1+M7)</f>
        <v>0</v>
      </c>
      <c r="O7" s="346">
        <f>K7</f>
        <v>0</v>
      </c>
      <c r="P7" s="737">
        <f>L7*(1+O7)</f>
        <v>0</v>
      </c>
      <c r="Q7" s="746">
        <f>M7</f>
        <v>0</v>
      </c>
      <c r="R7" s="133">
        <f>N7*(1+Q7)</f>
        <v>0</v>
      </c>
      <c r="S7" s="346">
        <f>O7</f>
        <v>0</v>
      </c>
      <c r="T7" s="737">
        <f>P7*(1+S7)</f>
        <v>0</v>
      </c>
    </row>
    <row r="8" spans="1:20" ht="20.25" customHeight="1" thickBot="1">
      <c r="A8" s="135"/>
      <c r="B8" s="134" t="s">
        <v>197</v>
      </c>
      <c r="C8" s="343">
        <f>Inicio!$D$25</f>
        <v>0.21</v>
      </c>
      <c r="D8" s="741">
        <f>D7*(1+$C$8)</f>
        <v>0</v>
      </c>
      <c r="E8" s="744"/>
      <c r="F8" s="137"/>
      <c r="G8" s="138"/>
      <c r="H8" s="738">
        <f>H7*(1+$C$8)</f>
        <v>0</v>
      </c>
      <c r="I8" s="744"/>
      <c r="J8" s="137"/>
      <c r="K8" s="137"/>
      <c r="L8" s="738">
        <f>L7*(1+$C$8)</f>
        <v>0</v>
      </c>
      <c r="M8" s="744"/>
      <c r="N8" s="137"/>
      <c r="O8" s="747"/>
      <c r="P8" s="738">
        <f>P7*(1+$C$8)</f>
        <v>0</v>
      </c>
      <c r="Q8" s="744"/>
      <c r="R8" s="137"/>
      <c r="S8" s="137"/>
      <c r="T8" s="738">
        <f>T7*(1+$C$8)</f>
        <v>0</v>
      </c>
    </row>
    <row r="9" spans="1:20" ht="20.25" customHeight="1">
      <c r="A9" s="538">
        <v>1</v>
      </c>
      <c r="B9" s="340"/>
      <c r="C9" s="341"/>
      <c r="D9" s="740"/>
      <c r="E9" s="743"/>
      <c r="F9" s="133">
        <f>C9*(1+E9)</f>
        <v>0</v>
      </c>
      <c r="G9" s="344"/>
      <c r="H9" s="737">
        <f>D9*(1+G9)</f>
        <v>0</v>
      </c>
      <c r="I9" s="746">
        <f>E9</f>
        <v>0</v>
      </c>
      <c r="J9" s="133">
        <f>F9*(1+I9)</f>
        <v>0</v>
      </c>
      <c r="K9" s="346">
        <f>G9</f>
        <v>0</v>
      </c>
      <c r="L9" s="737">
        <f>H9*(1+K9)</f>
        <v>0</v>
      </c>
      <c r="M9" s="746">
        <f>I9</f>
        <v>0</v>
      </c>
      <c r="N9" s="133">
        <f>J9*(1+M9)</f>
        <v>0</v>
      </c>
      <c r="O9" s="346">
        <f>K9</f>
        <v>0</v>
      </c>
      <c r="P9" s="737">
        <f>L9*(1+O9)</f>
        <v>0</v>
      </c>
      <c r="Q9" s="746">
        <f>M9</f>
        <v>0</v>
      </c>
      <c r="R9" s="133">
        <f>N9*(1+Q9)</f>
        <v>0</v>
      </c>
      <c r="S9" s="346">
        <f>O9</f>
        <v>0</v>
      </c>
      <c r="T9" s="737">
        <f>P9*(1+S9)</f>
        <v>0</v>
      </c>
    </row>
    <row r="10" spans="1:20" ht="20.25" customHeight="1" thickBot="1">
      <c r="A10" s="135"/>
      <c r="B10" s="134" t="s">
        <v>197</v>
      </c>
      <c r="C10" s="343">
        <f>Inicio!$D$25</f>
        <v>0.21</v>
      </c>
      <c r="D10" s="741">
        <f>D9*(1+$C$10)</f>
        <v>0</v>
      </c>
      <c r="E10" s="744"/>
      <c r="F10" s="137"/>
      <c r="G10" s="137"/>
      <c r="H10" s="738">
        <f>H9*(1+$C$10)</f>
        <v>0</v>
      </c>
      <c r="I10" s="744"/>
      <c r="J10" s="137"/>
      <c r="K10" s="137"/>
      <c r="L10" s="738">
        <f>L9*(1+$C$10)</f>
        <v>0</v>
      </c>
      <c r="M10" s="744"/>
      <c r="N10" s="137"/>
      <c r="O10" s="747"/>
      <c r="P10" s="738">
        <f>P9*(1+$C$10)</f>
        <v>0</v>
      </c>
      <c r="Q10" s="744"/>
      <c r="R10" s="137"/>
      <c r="S10" s="137"/>
      <c r="T10" s="738">
        <f>T9*(1+$C$10)</f>
        <v>0</v>
      </c>
    </row>
    <row r="11" spans="1:20" ht="21" customHeight="1">
      <c r="A11" s="538">
        <v>1</v>
      </c>
      <c r="B11" s="340"/>
      <c r="C11" s="341"/>
      <c r="D11" s="740"/>
      <c r="E11" s="743"/>
      <c r="F11" s="133">
        <f>C11*(1+E11)</f>
        <v>0</v>
      </c>
      <c r="G11" s="344"/>
      <c r="H11" s="737">
        <f>D11*(1+G11)</f>
        <v>0</v>
      </c>
      <c r="I11" s="746">
        <f>E11</f>
        <v>0</v>
      </c>
      <c r="J11" s="133">
        <f>F11*(1+I11)</f>
        <v>0</v>
      </c>
      <c r="K11" s="346">
        <f>G11</f>
        <v>0</v>
      </c>
      <c r="L11" s="737">
        <f>H11*(1+K11)</f>
        <v>0</v>
      </c>
      <c r="M11" s="746">
        <f>I11</f>
        <v>0</v>
      </c>
      <c r="N11" s="133">
        <f>J11*(1+M11)</f>
        <v>0</v>
      </c>
      <c r="O11" s="346">
        <f>K11</f>
        <v>0</v>
      </c>
      <c r="P11" s="737">
        <f>L11*(1+O11)</f>
        <v>0</v>
      </c>
      <c r="Q11" s="746">
        <f>M11</f>
        <v>0</v>
      </c>
      <c r="R11" s="133">
        <f>N11*(1+Q11)</f>
        <v>0</v>
      </c>
      <c r="S11" s="346">
        <f>O11</f>
        <v>0</v>
      </c>
      <c r="T11" s="737">
        <f>P11*(1+S11)</f>
        <v>0</v>
      </c>
    </row>
    <row r="12" spans="1:20" ht="21" customHeight="1" thickBot="1">
      <c r="A12" s="135"/>
      <c r="B12" s="134" t="s">
        <v>197</v>
      </c>
      <c r="C12" s="343">
        <f>Inicio!$D$25</f>
        <v>0.21</v>
      </c>
      <c r="D12" s="741">
        <f>D11*(1+$C$12)</f>
        <v>0</v>
      </c>
      <c r="E12" s="744"/>
      <c r="F12" s="137"/>
      <c r="G12" s="137"/>
      <c r="H12" s="738">
        <f>H11*(1+$C$12)</f>
        <v>0</v>
      </c>
      <c r="I12" s="744"/>
      <c r="J12" s="137"/>
      <c r="K12" s="137"/>
      <c r="L12" s="738">
        <f>L11*(1+$C$12)</f>
        <v>0</v>
      </c>
      <c r="M12" s="744"/>
      <c r="N12" s="137"/>
      <c r="O12" s="747"/>
      <c r="P12" s="738">
        <f>P11*(1+$C$12)</f>
        <v>0</v>
      </c>
      <c r="Q12" s="744"/>
      <c r="R12" s="137"/>
      <c r="S12" s="137"/>
      <c r="T12" s="738">
        <f>T11*(1+$C$12)</f>
        <v>0</v>
      </c>
    </row>
    <row r="13" spans="1:20" ht="21" customHeight="1">
      <c r="A13" s="539">
        <v>1</v>
      </c>
      <c r="B13" s="340"/>
      <c r="C13" s="342"/>
      <c r="D13" s="742"/>
      <c r="E13" s="745"/>
      <c r="F13" s="139">
        <f>C13*(1+E13)</f>
        <v>0</v>
      </c>
      <c r="G13" s="345"/>
      <c r="H13" s="739">
        <f>D13*(1+G13)</f>
        <v>0</v>
      </c>
      <c r="I13" s="746">
        <f>E13</f>
        <v>0</v>
      </c>
      <c r="J13" s="133">
        <f>F13*(1+I13)</f>
        <v>0</v>
      </c>
      <c r="K13" s="346">
        <f>G13</f>
        <v>0</v>
      </c>
      <c r="L13" s="739">
        <f>H13*(1+K13)</f>
        <v>0</v>
      </c>
      <c r="M13" s="746">
        <f>I13</f>
        <v>0</v>
      </c>
      <c r="N13" s="133">
        <f>J13*(1+M13)</f>
        <v>0</v>
      </c>
      <c r="O13" s="346">
        <f>K13</f>
        <v>0</v>
      </c>
      <c r="P13" s="739">
        <f>L13*(1+O13)</f>
        <v>0</v>
      </c>
      <c r="Q13" s="746">
        <f>M13</f>
        <v>0</v>
      </c>
      <c r="R13" s="133">
        <f>N13*(1+Q13)</f>
        <v>0</v>
      </c>
      <c r="S13" s="346">
        <f>O13</f>
        <v>0</v>
      </c>
      <c r="T13" s="739">
        <f>P13*(1+S13)</f>
        <v>0</v>
      </c>
    </row>
    <row r="14" spans="1:20" ht="21" customHeight="1" thickBot="1">
      <c r="A14" s="140"/>
      <c r="B14" s="134" t="s">
        <v>197</v>
      </c>
      <c r="C14" s="343">
        <f>Inicio!$D$25</f>
        <v>0.21</v>
      </c>
      <c r="D14" s="741">
        <f>D13*(1+$C$14)</f>
        <v>0</v>
      </c>
      <c r="E14" s="136"/>
      <c r="F14" s="137"/>
      <c r="G14" s="137"/>
      <c r="H14" s="738">
        <f>H13*(1+$C$14)</f>
        <v>0</v>
      </c>
      <c r="I14" s="136"/>
      <c r="J14" s="137"/>
      <c r="K14" s="137"/>
      <c r="L14" s="738">
        <f>L13*(1+$C$14)</f>
        <v>0</v>
      </c>
      <c r="M14" s="136"/>
      <c r="N14" s="137"/>
      <c r="O14" s="137"/>
      <c r="P14" s="738">
        <f>P13*(1+$C$14)</f>
        <v>0</v>
      </c>
      <c r="Q14" s="136"/>
      <c r="R14" s="137"/>
      <c r="S14" s="137"/>
      <c r="T14" s="738">
        <f>T13*(1+$C$14)</f>
        <v>0</v>
      </c>
    </row>
    <row r="15" spans="1:20" ht="15.75" thickBot="1">
      <c r="A15" s="493"/>
      <c r="B15" s="493"/>
      <c r="C15" s="495"/>
      <c r="D15" s="494"/>
      <c r="E15" s="493"/>
      <c r="F15" s="493"/>
      <c r="G15" s="493"/>
      <c r="H15" s="494"/>
      <c r="I15" s="493"/>
      <c r="J15" s="493"/>
      <c r="K15" s="493"/>
      <c r="L15" s="492"/>
      <c r="O15" s="5"/>
      <c r="P15" s="492"/>
      <c r="S15" s="5"/>
      <c r="T15" s="492"/>
    </row>
    <row r="16" spans="1:20" s="2" customFormat="1" ht="39" customHeight="1" thickBot="1">
      <c r="A16" s="979" t="s">
        <v>198</v>
      </c>
      <c r="B16" s="980"/>
      <c r="C16" s="496" t="s">
        <v>60</v>
      </c>
      <c r="D16" s="60" t="s">
        <v>61</v>
      </c>
      <c r="E16" s="60" t="s">
        <v>62</v>
      </c>
      <c r="F16" s="60" t="s">
        <v>176</v>
      </c>
      <c r="G16" s="61" t="s">
        <v>177</v>
      </c>
      <c r="Q16" s="3"/>
      <c r="R16" s="3"/>
    </row>
    <row r="17" spans="1:18" ht="21" customHeight="1">
      <c r="A17" s="981">
        <f>B5</f>
        <v>0</v>
      </c>
      <c r="B17" s="982"/>
      <c r="C17" s="810">
        <f>IF(A5&lt;=1,C5*D5,0)</f>
        <v>0</v>
      </c>
      <c r="D17" s="811">
        <f>IF(A5&lt;=2,F5*H5,0)</f>
        <v>0</v>
      </c>
      <c r="E17" s="811">
        <f>IF(A5&lt;=3,J5*L5,0)</f>
        <v>0</v>
      </c>
      <c r="F17" s="811">
        <f>IF(A5&lt;=4,N5*P5,0)</f>
        <v>0</v>
      </c>
      <c r="G17" s="812">
        <f>R5*T5</f>
        <v>0</v>
      </c>
      <c r="J17" s="4"/>
      <c r="M17" s="4"/>
      <c r="N17" s="4"/>
    </row>
    <row r="18" spans="1:18" ht="21" customHeight="1">
      <c r="A18" s="983">
        <f>B7</f>
        <v>0</v>
      </c>
      <c r="B18" s="984"/>
      <c r="C18" s="813">
        <f>IF(A7&lt;=1,C7*D7,0)</f>
        <v>0</v>
      </c>
      <c r="D18" s="814">
        <f>IF(A7&lt;=2,F7*H7,0)</f>
        <v>0</v>
      </c>
      <c r="E18" s="814">
        <f>IF(A7&lt;=3,J7*L7,0)</f>
        <v>0</v>
      </c>
      <c r="F18" s="814">
        <f>IF(A7&lt;=4,N7*P7,0)</f>
        <v>0</v>
      </c>
      <c r="G18" s="815">
        <f>R7*T7</f>
        <v>0</v>
      </c>
      <c r="J18" s="4"/>
      <c r="M18" s="4"/>
      <c r="N18" s="4"/>
    </row>
    <row r="19" spans="1:18" ht="21" customHeight="1">
      <c r="A19" s="983">
        <f>B9</f>
        <v>0</v>
      </c>
      <c r="B19" s="984"/>
      <c r="C19" s="813">
        <f>IF(A9&lt;=1,C9*D9,0)</f>
        <v>0</v>
      </c>
      <c r="D19" s="814">
        <f>IF(A9&lt;=2,F9*H9,0)</f>
        <v>0</v>
      </c>
      <c r="E19" s="814">
        <f>IF(A9&lt;=3,J9*L9,0)</f>
        <v>0</v>
      </c>
      <c r="F19" s="814">
        <f>IF(A9&lt;=4,N9*P9,0)</f>
        <v>0</v>
      </c>
      <c r="G19" s="815">
        <f>R9*T9</f>
        <v>0</v>
      </c>
      <c r="J19" s="4"/>
      <c r="M19" s="4"/>
      <c r="N19" s="4"/>
    </row>
    <row r="20" spans="1:18" ht="21" customHeight="1">
      <c r="A20" s="983">
        <f>B11</f>
        <v>0</v>
      </c>
      <c r="B20" s="984"/>
      <c r="C20" s="813">
        <f>IF(A11&lt;=1,C11*D11,0)</f>
        <v>0</v>
      </c>
      <c r="D20" s="814">
        <f>IF(A11&lt;=2,F11*H11,0)</f>
        <v>0</v>
      </c>
      <c r="E20" s="814">
        <f>IF(A11&lt;=3,J11*L11,0)</f>
        <v>0</v>
      </c>
      <c r="F20" s="814">
        <f>IF(A11&lt;=4,N11*P11,0)</f>
        <v>0</v>
      </c>
      <c r="G20" s="815">
        <f>R11*T11</f>
        <v>0</v>
      </c>
      <c r="J20" s="4"/>
      <c r="M20" s="4"/>
      <c r="N20" s="4"/>
    </row>
    <row r="21" spans="1:18" ht="21" customHeight="1" thickBot="1">
      <c r="A21" s="987">
        <f>B13</f>
        <v>0</v>
      </c>
      <c r="B21" s="988"/>
      <c r="C21" s="816">
        <f>IF(A13&lt;=1,C13*D13,0)</f>
        <v>0</v>
      </c>
      <c r="D21" s="817">
        <f>IF(A13&lt;=2,F13*H13,0)</f>
        <v>0</v>
      </c>
      <c r="E21" s="817">
        <f>IF(A13&lt;=3,J13*L13,0)</f>
        <v>0</v>
      </c>
      <c r="F21" s="817">
        <f>IF(A13&lt;=4,N13*P13,0)</f>
        <v>0</v>
      </c>
      <c r="G21" s="818">
        <f>R13*T13</f>
        <v>0</v>
      </c>
      <c r="J21" s="4"/>
      <c r="M21" s="4"/>
      <c r="N21" s="4"/>
    </row>
    <row r="22" spans="1:18" s="2" customFormat="1" ht="33" customHeight="1" thickBot="1">
      <c r="A22" s="989" t="s">
        <v>200</v>
      </c>
      <c r="B22" s="990"/>
      <c r="C22" s="819">
        <f>SUM(C17:C21)</f>
        <v>0</v>
      </c>
      <c r="D22" s="820">
        <f>SUM(D17:D21)</f>
        <v>0</v>
      </c>
      <c r="E22" s="820">
        <f>SUM(E17:E21)</f>
        <v>0</v>
      </c>
      <c r="F22" s="820">
        <f>SUM(F17:F21)</f>
        <v>0</v>
      </c>
      <c r="G22" s="821">
        <f>SUM(G17:G21)</f>
        <v>0</v>
      </c>
      <c r="Q22" s="3"/>
      <c r="R22" s="3"/>
    </row>
    <row r="23" spans="1:18" s="2" customFormat="1" ht="17.25" thickBot="1">
      <c r="A23" s="141"/>
      <c r="J23" s="3"/>
      <c r="M23" s="3"/>
      <c r="N23" s="3"/>
      <c r="Q23" s="3"/>
      <c r="R23" s="3"/>
    </row>
    <row r="24" spans="1:18" s="2" customFormat="1" ht="39" customHeight="1" thickBot="1">
      <c r="A24" s="991" t="s">
        <v>199</v>
      </c>
      <c r="B24" s="992"/>
      <c r="C24" s="60" t="s">
        <v>60</v>
      </c>
      <c r="D24" s="60" t="s">
        <v>61</v>
      </c>
      <c r="E24" s="60" t="s">
        <v>62</v>
      </c>
      <c r="F24" s="60" t="s">
        <v>176</v>
      </c>
      <c r="G24" s="61" t="s">
        <v>177</v>
      </c>
      <c r="J24" s="3"/>
      <c r="M24" s="3"/>
      <c r="N24" s="3"/>
      <c r="Q24" s="3"/>
      <c r="R24" s="3"/>
    </row>
    <row r="25" spans="1:18" ht="21" customHeight="1">
      <c r="A25" s="993">
        <f>A17</f>
        <v>0</v>
      </c>
      <c r="B25" s="994"/>
      <c r="C25" s="822">
        <f>C17*(1+$C$6)</f>
        <v>0</v>
      </c>
      <c r="D25" s="822">
        <f>D17*(1+$C$6)</f>
        <v>0</v>
      </c>
      <c r="E25" s="822">
        <f>E17*(1+$C$6)</f>
        <v>0</v>
      </c>
      <c r="F25" s="822">
        <f>F17*(1+$C$6)</f>
        <v>0</v>
      </c>
      <c r="G25" s="823">
        <f>G17*(1+$C$6)</f>
        <v>0</v>
      </c>
    </row>
    <row r="26" spans="1:18" ht="21" customHeight="1">
      <c r="A26" s="983">
        <f>A18</f>
        <v>0</v>
      </c>
      <c r="B26" s="984"/>
      <c r="C26" s="814">
        <f>C18*(1+$C$8)</f>
        <v>0</v>
      </c>
      <c r="D26" s="814">
        <f>D18*(1+$C$8)</f>
        <v>0</v>
      </c>
      <c r="E26" s="814">
        <f>E18*(1+$C$8)</f>
        <v>0</v>
      </c>
      <c r="F26" s="814">
        <f>F18*(1+$C$8)</f>
        <v>0</v>
      </c>
      <c r="G26" s="815">
        <f>G18*(1+$C$8)</f>
        <v>0</v>
      </c>
    </row>
    <row r="27" spans="1:18" ht="21" customHeight="1">
      <c r="A27" s="983">
        <f>A19</f>
        <v>0</v>
      </c>
      <c r="B27" s="984"/>
      <c r="C27" s="814">
        <f>C19*(1+$C$10)</f>
        <v>0</v>
      </c>
      <c r="D27" s="814">
        <f>D19*(1+$C$10)</f>
        <v>0</v>
      </c>
      <c r="E27" s="814">
        <f>E19*(1+$C$10)</f>
        <v>0</v>
      </c>
      <c r="F27" s="814">
        <f>F19*(1+$C$10)</f>
        <v>0</v>
      </c>
      <c r="G27" s="815">
        <f>G19*(1+$C$10)</f>
        <v>0</v>
      </c>
    </row>
    <row r="28" spans="1:18" ht="21" customHeight="1">
      <c r="A28" s="983">
        <f>A20</f>
        <v>0</v>
      </c>
      <c r="B28" s="984"/>
      <c r="C28" s="814">
        <f>C20*(1+$C$12)</f>
        <v>0</v>
      </c>
      <c r="D28" s="814">
        <f>D20*(1+$C$12)</f>
        <v>0</v>
      </c>
      <c r="E28" s="814">
        <f>E20*(1+$C$12)</f>
        <v>0</v>
      </c>
      <c r="F28" s="814">
        <f>F20*(1+$C$12)</f>
        <v>0</v>
      </c>
      <c r="G28" s="815">
        <f>G20*(1+$C$12)</f>
        <v>0</v>
      </c>
    </row>
    <row r="29" spans="1:18" ht="21" customHeight="1" thickBot="1">
      <c r="A29" s="985">
        <f>A21</f>
        <v>0</v>
      </c>
      <c r="B29" s="986"/>
      <c r="C29" s="824">
        <f>C21*(1+$C$14)</f>
        <v>0</v>
      </c>
      <c r="D29" s="824">
        <f>D21*(1+$C$14)</f>
        <v>0</v>
      </c>
      <c r="E29" s="824">
        <f>E21*(1+$C$14)</f>
        <v>0</v>
      </c>
      <c r="F29" s="824">
        <f>F21*(1+$C$14)</f>
        <v>0</v>
      </c>
      <c r="G29" s="825">
        <f>G21*(1+$C$14)</f>
        <v>0</v>
      </c>
    </row>
    <row r="30" spans="1:18" ht="33" customHeight="1" thickBot="1">
      <c r="A30" s="977" t="s">
        <v>200</v>
      </c>
      <c r="B30" s="978"/>
      <c r="C30" s="820">
        <f>SUM(C25:C29)</f>
        <v>0</v>
      </c>
      <c r="D30" s="820">
        <f>SUM(D25:D29)</f>
        <v>0</v>
      </c>
      <c r="E30" s="820">
        <f>SUM(E25:E29)</f>
        <v>0</v>
      </c>
      <c r="F30" s="820">
        <f>SUM(F25:F29)</f>
        <v>0</v>
      </c>
      <c r="G30" s="821">
        <f>SUM(G25:G29)</f>
        <v>0</v>
      </c>
    </row>
    <row r="59" spans="1:6" ht="28.5" hidden="1" customHeight="1" thickBot="1">
      <c r="A59" s="92" t="s">
        <v>284</v>
      </c>
      <c r="B59" s="93" t="s">
        <v>60</v>
      </c>
      <c r="C59" s="93" t="s">
        <v>61</v>
      </c>
      <c r="D59" s="93" t="s">
        <v>62</v>
      </c>
      <c r="E59" s="93" t="s">
        <v>176</v>
      </c>
      <c r="F59" s="94" t="s">
        <v>177</v>
      </c>
    </row>
    <row r="60" spans="1:6" hidden="1">
      <c r="A60" s="89">
        <f>A17</f>
        <v>0</v>
      </c>
      <c r="B60" s="90">
        <f t="shared" ref="B60:F64" si="0">C25-C17</f>
        <v>0</v>
      </c>
      <c r="C60" s="90">
        <f t="shared" si="0"/>
        <v>0</v>
      </c>
      <c r="D60" s="90">
        <f t="shared" si="0"/>
        <v>0</v>
      </c>
      <c r="E60" s="90">
        <f t="shared" si="0"/>
        <v>0</v>
      </c>
      <c r="F60" s="91">
        <f t="shared" si="0"/>
        <v>0</v>
      </c>
    </row>
    <row r="61" spans="1:6" hidden="1">
      <c r="A61" s="86">
        <f>A18</f>
        <v>0</v>
      </c>
      <c r="B61" s="87">
        <f t="shared" si="0"/>
        <v>0</v>
      </c>
      <c r="C61" s="87">
        <f t="shared" si="0"/>
        <v>0</v>
      </c>
      <c r="D61" s="87">
        <f t="shared" si="0"/>
        <v>0</v>
      </c>
      <c r="E61" s="87">
        <f t="shared" si="0"/>
        <v>0</v>
      </c>
      <c r="F61" s="88">
        <f t="shared" si="0"/>
        <v>0</v>
      </c>
    </row>
    <row r="62" spans="1:6" hidden="1">
      <c r="A62" s="86">
        <f>A19</f>
        <v>0</v>
      </c>
      <c r="B62" s="87">
        <f t="shared" si="0"/>
        <v>0</v>
      </c>
      <c r="C62" s="87">
        <f t="shared" si="0"/>
        <v>0</v>
      </c>
      <c r="D62" s="87">
        <f t="shared" si="0"/>
        <v>0</v>
      </c>
      <c r="E62" s="87">
        <f t="shared" si="0"/>
        <v>0</v>
      </c>
      <c r="F62" s="88">
        <f t="shared" si="0"/>
        <v>0</v>
      </c>
    </row>
    <row r="63" spans="1:6" hidden="1">
      <c r="A63" s="86">
        <f>A20</f>
        <v>0</v>
      </c>
      <c r="B63" s="87">
        <f t="shared" si="0"/>
        <v>0</v>
      </c>
      <c r="C63" s="87">
        <f t="shared" si="0"/>
        <v>0</v>
      </c>
      <c r="D63" s="87">
        <f t="shared" si="0"/>
        <v>0</v>
      </c>
      <c r="E63" s="87">
        <f t="shared" si="0"/>
        <v>0</v>
      </c>
      <c r="F63" s="88">
        <f t="shared" si="0"/>
        <v>0</v>
      </c>
    </row>
    <row r="64" spans="1:6" ht="15.75" hidden="1" thickBot="1">
      <c r="A64" s="95">
        <f>A21</f>
        <v>0</v>
      </c>
      <c r="B64" s="96">
        <f t="shared" si="0"/>
        <v>0</v>
      </c>
      <c r="C64" s="96">
        <f t="shared" si="0"/>
        <v>0</v>
      </c>
      <c r="D64" s="96">
        <f t="shared" si="0"/>
        <v>0</v>
      </c>
      <c r="E64" s="96">
        <f t="shared" si="0"/>
        <v>0</v>
      </c>
      <c r="F64" s="97">
        <f t="shared" si="0"/>
        <v>0</v>
      </c>
    </row>
    <row r="65" spans="1:6" ht="15.75" hidden="1" thickBot="1">
      <c r="A65" s="92" t="s">
        <v>285</v>
      </c>
      <c r="B65" s="93">
        <f>SUM(B60:B64)</f>
        <v>0</v>
      </c>
      <c r="C65" s="93">
        <f>SUM(C60:C64)</f>
        <v>0</v>
      </c>
      <c r="D65" s="93">
        <f>SUM(D60:D64)</f>
        <v>0</v>
      </c>
      <c r="E65" s="93">
        <f>SUM(E60:E64)</f>
        <v>0</v>
      </c>
      <c r="F65" s="94">
        <f>SUM(F60:F64)</f>
        <v>0</v>
      </c>
    </row>
  </sheetData>
  <sheetProtection password="A6E9" sheet="1" formatColumns="0"/>
  <dataConsolidate/>
  <mergeCells count="20">
    <mergeCell ref="A21:B21"/>
    <mergeCell ref="A22:B22"/>
    <mergeCell ref="A24:B24"/>
    <mergeCell ref="A25:B25"/>
    <mergeCell ref="A2:T2"/>
    <mergeCell ref="C3:D3"/>
    <mergeCell ref="E3:H3"/>
    <mergeCell ref="I3:L3"/>
    <mergeCell ref="M3:P3"/>
    <mergeCell ref="Q3:T3"/>
    <mergeCell ref="A30:B30"/>
    <mergeCell ref="A16:B16"/>
    <mergeCell ref="A17:B17"/>
    <mergeCell ref="A18:B18"/>
    <mergeCell ref="A19:B19"/>
    <mergeCell ref="A20:B20"/>
    <mergeCell ref="A26:B26"/>
    <mergeCell ref="A27:B27"/>
    <mergeCell ref="A28:B28"/>
    <mergeCell ref="A29:B29"/>
  </mergeCells>
  <phoneticPr fontId="0" type="noConversion"/>
  <printOptions horizontalCentered="1" gridLinesSet="0"/>
  <pageMargins left="0.55118110236220474" right="0.55118110236220474" top="0.6692913385826772" bottom="0.6692913385826772" header="0.39370078740157483" footer="0.31496062992125984"/>
  <pageSetup paperSize="9" scale="62" orientation="landscape" errors="blank" horizontalDpi="300" verticalDpi="300" r:id="rId1"/>
  <headerFooter alignWithMargins="0">
    <oddHeader>&amp;C&amp;"Trebuchet MS,Normal"&amp;14&amp;U&amp;A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Button 1">
              <controlPr defaultSize="0" print="0" autoFill="0" autoPict="0" macro="[0]!Inicio">
                <anchor moveWithCells="1" sizeWithCells="1">
                  <from>
                    <xdr:col>0</xdr:col>
                    <xdr:colOff>0</xdr:colOff>
                    <xdr:row>0</xdr:row>
                    <xdr:rowOff>104775</xdr:rowOff>
                  </from>
                  <to>
                    <xdr:col>1</xdr:col>
                    <xdr:colOff>19050</xdr:colOff>
                    <xdr:row>0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autoPageBreaks="0"/>
  </sheetPr>
  <dimension ref="A1:GY123"/>
  <sheetViews>
    <sheetView showGridLines="0" showZeros="0" zoomScaleNormal="100" workbookViewId="0">
      <selection activeCell="B5" sqref="B5"/>
    </sheetView>
  </sheetViews>
  <sheetFormatPr baseColWidth="10" defaultColWidth="0" defaultRowHeight="16.5"/>
  <cols>
    <col min="1" max="1" width="26.5" style="8" customWidth="1"/>
    <col min="2" max="5" width="10.625" style="8" customWidth="1"/>
    <col min="6" max="6" width="10" style="254" customWidth="1"/>
    <col min="7" max="9" width="10.625" style="8" customWidth="1"/>
    <col min="10" max="10" width="10.625" style="254" customWidth="1"/>
    <col min="11" max="13" width="10.625" style="8" customWidth="1"/>
    <col min="14" max="14" width="10.625" style="254" customWidth="1"/>
    <col min="15" max="15" width="10.625" style="11" customWidth="1"/>
    <col min="16" max="16" width="10.625" style="48" customWidth="1"/>
    <col min="17" max="17" width="10.625" style="8" customWidth="1"/>
    <col min="18" max="18" width="10.625" style="254" customWidth="1"/>
    <col min="19" max="20" width="10.625" style="8" customWidth="1"/>
    <col min="21" max="21" width="14.5" style="8" customWidth="1"/>
    <col min="22" max="207" width="14.5" style="8" hidden="1" customWidth="1"/>
    <col min="208" max="16384" width="0" style="8" hidden="1"/>
  </cols>
  <sheetData>
    <row r="1" spans="1:20" ht="35.25" customHeight="1" thickBot="1">
      <c r="P1" s="11"/>
    </row>
    <row r="2" spans="1:20" s="9" customFormat="1" ht="39" customHeight="1" thickBot="1">
      <c r="A2" s="1010" t="s">
        <v>35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2"/>
    </row>
    <row r="3" spans="1:20" ht="39" customHeight="1" thickBot="1">
      <c r="A3" s="272" t="s">
        <v>155</v>
      </c>
      <c r="B3" s="1013" t="s">
        <v>60</v>
      </c>
      <c r="C3" s="1014"/>
      <c r="D3" s="1015"/>
      <c r="E3" s="1013" t="s">
        <v>61</v>
      </c>
      <c r="F3" s="1014"/>
      <c r="G3" s="1014"/>
      <c r="H3" s="1014"/>
      <c r="I3" s="1013" t="s">
        <v>62</v>
      </c>
      <c r="J3" s="1014"/>
      <c r="K3" s="1014"/>
      <c r="L3" s="1015"/>
      <c r="M3" s="1013" t="s">
        <v>176</v>
      </c>
      <c r="N3" s="1014"/>
      <c r="O3" s="1014"/>
      <c r="P3" s="1014"/>
      <c r="Q3" s="1013" t="s">
        <v>177</v>
      </c>
      <c r="R3" s="1014"/>
      <c r="S3" s="1014"/>
      <c r="T3" s="1016"/>
    </row>
    <row r="4" spans="1:20" ht="33">
      <c r="A4" s="43">
        <f>Ventas!B5</f>
        <v>0</v>
      </c>
      <c r="B4" s="44" t="s">
        <v>209</v>
      </c>
      <c r="C4" s="45" t="s">
        <v>210</v>
      </c>
      <c r="D4" s="46" t="s">
        <v>211</v>
      </c>
      <c r="E4" s="44" t="s">
        <v>212</v>
      </c>
      <c r="F4" s="253" t="s">
        <v>209</v>
      </c>
      <c r="G4" s="263" t="s">
        <v>210</v>
      </c>
      <c r="H4" s="46" t="s">
        <v>211</v>
      </c>
      <c r="I4" s="44" t="s">
        <v>212</v>
      </c>
      <c r="J4" s="253" t="s">
        <v>209</v>
      </c>
      <c r="K4" s="263" t="s">
        <v>210</v>
      </c>
      <c r="L4" s="46" t="s">
        <v>211</v>
      </c>
      <c r="M4" s="44" t="s">
        <v>212</v>
      </c>
      <c r="N4" s="253" t="s">
        <v>209</v>
      </c>
      <c r="O4" s="263" t="s">
        <v>210</v>
      </c>
      <c r="P4" s="46" t="s">
        <v>211</v>
      </c>
      <c r="Q4" s="44" t="s">
        <v>212</v>
      </c>
      <c r="R4" s="253" t="s">
        <v>209</v>
      </c>
      <c r="S4" s="263" t="s">
        <v>210</v>
      </c>
      <c r="T4" s="47" t="s">
        <v>211</v>
      </c>
    </row>
    <row r="5" spans="1:20" s="146" customFormat="1" ht="15">
      <c r="A5" s="347" t="s">
        <v>320</v>
      </c>
      <c r="B5" s="284"/>
      <c r="C5" s="144">
        <f>IF(Ventas!$A$5=1,Ventas!$C$5,0)</f>
        <v>0</v>
      </c>
      <c r="D5" s="748">
        <f t="shared" ref="D5:D10" si="0">B5*C5</f>
        <v>0</v>
      </c>
      <c r="E5" s="143"/>
      <c r="F5" s="285">
        <f t="shared" ref="F5:F10" si="1">B5*(1+E5)</f>
        <v>0</v>
      </c>
      <c r="G5" s="144">
        <f>IF(Ventas!$A$5&lt;=2,Ventas!$F$5,0)</f>
        <v>0</v>
      </c>
      <c r="H5" s="748">
        <f t="shared" ref="H5:H10" si="2">F5*G5</f>
        <v>0</v>
      </c>
      <c r="I5" s="349">
        <f t="shared" ref="I5:I12" si="3">E5</f>
        <v>0</v>
      </c>
      <c r="J5" s="258">
        <f t="shared" ref="J5:J10" si="4">F5*(1+I5)</f>
        <v>0</v>
      </c>
      <c r="K5" s="144">
        <f>IF(Ventas!$A$5&lt;=3,Ventas!$J$5,0)</f>
        <v>0</v>
      </c>
      <c r="L5" s="748">
        <f t="shared" ref="L5:L10" si="5">J5*K5</f>
        <v>0</v>
      </c>
      <c r="M5" s="349">
        <f t="shared" ref="M5:M12" si="6">I5</f>
        <v>0</v>
      </c>
      <c r="N5" s="258">
        <f t="shared" ref="N5:N10" si="7">J5*(1+M5)</f>
        <v>0</v>
      </c>
      <c r="O5" s="144">
        <f>IF(Ventas!$A$5&lt;=4,Ventas!$N$5,0)</f>
        <v>0</v>
      </c>
      <c r="P5" s="748">
        <f t="shared" ref="P5:P10" si="8">N5*O5</f>
        <v>0</v>
      </c>
      <c r="Q5" s="350">
        <f t="shared" ref="Q5:Q12" si="9">M5</f>
        <v>0</v>
      </c>
      <c r="R5" s="258">
        <f t="shared" ref="R5:R10" si="10">N5*(1+Q5)</f>
        <v>0</v>
      </c>
      <c r="S5" s="144">
        <f>Ventas!$R$5</f>
        <v>0</v>
      </c>
      <c r="T5" s="748">
        <f t="shared" ref="T5:T10" si="11">R5*S5</f>
        <v>0</v>
      </c>
    </row>
    <row r="6" spans="1:20" s="146" customFormat="1" ht="15">
      <c r="A6" s="347" t="s">
        <v>321</v>
      </c>
      <c r="B6" s="284"/>
      <c r="C6" s="144">
        <f>IF(Ventas!$A$5=1,Ventas!$C$5,0)</f>
        <v>0</v>
      </c>
      <c r="D6" s="748">
        <f t="shared" si="0"/>
        <v>0</v>
      </c>
      <c r="E6" s="143"/>
      <c r="F6" s="285">
        <f t="shared" si="1"/>
        <v>0</v>
      </c>
      <c r="G6" s="144">
        <f>IF(Ventas!$A$5&lt;=2,Ventas!$F$5,0)</f>
        <v>0</v>
      </c>
      <c r="H6" s="748">
        <f t="shared" si="2"/>
        <v>0</v>
      </c>
      <c r="I6" s="349">
        <f t="shared" si="3"/>
        <v>0</v>
      </c>
      <c r="J6" s="258">
        <f t="shared" si="4"/>
        <v>0</v>
      </c>
      <c r="K6" s="144">
        <f>IF(Ventas!$A$5&lt;=3,Ventas!$J$5,0)</f>
        <v>0</v>
      </c>
      <c r="L6" s="748">
        <f t="shared" si="5"/>
        <v>0</v>
      </c>
      <c r="M6" s="349">
        <f t="shared" si="6"/>
        <v>0</v>
      </c>
      <c r="N6" s="258">
        <f t="shared" si="7"/>
        <v>0</v>
      </c>
      <c r="O6" s="144">
        <f>IF(Ventas!$A$5&lt;=4,Ventas!$N$5,0)</f>
        <v>0</v>
      </c>
      <c r="P6" s="748">
        <f t="shared" si="8"/>
        <v>0</v>
      </c>
      <c r="Q6" s="350">
        <f t="shared" si="9"/>
        <v>0</v>
      </c>
      <c r="R6" s="258">
        <f t="shared" si="10"/>
        <v>0</v>
      </c>
      <c r="S6" s="144">
        <f>Ventas!$R$5</f>
        <v>0</v>
      </c>
      <c r="T6" s="748">
        <f t="shared" si="11"/>
        <v>0</v>
      </c>
    </row>
    <row r="7" spans="1:20" s="146" customFormat="1" ht="15">
      <c r="A7" s="347" t="s">
        <v>241</v>
      </c>
      <c r="B7" s="284"/>
      <c r="C7" s="144">
        <f>IF(Ventas!$A$5=1,Ventas!$C$5,0)</f>
        <v>0</v>
      </c>
      <c r="D7" s="748">
        <f t="shared" si="0"/>
        <v>0</v>
      </c>
      <c r="E7" s="143"/>
      <c r="F7" s="285">
        <f t="shared" si="1"/>
        <v>0</v>
      </c>
      <c r="G7" s="144">
        <f>IF(Ventas!$A$5&lt;=2,Ventas!$F$5,0)</f>
        <v>0</v>
      </c>
      <c r="H7" s="748">
        <f t="shared" si="2"/>
        <v>0</v>
      </c>
      <c r="I7" s="349">
        <f t="shared" si="3"/>
        <v>0</v>
      </c>
      <c r="J7" s="258">
        <f t="shared" si="4"/>
        <v>0</v>
      </c>
      <c r="K7" s="144">
        <f>IF(Ventas!$A$5&lt;=3,Ventas!$J$5,0)</f>
        <v>0</v>
      </c>
      <c r="L7" s="748">
        <f t="shared" si="5"/>
        <v>0</v>
      </c>
      <c r="M7" s="349">
        <f t="shared" si="6"/>
        <v>0</v>
      </c>
      <c r="N7" s="258">
        <f t="shared" si="7"/>
        <v>0</v>
      </c>
      <c r="O7" s="144">
        <f>IF(Ventas!$A$5&lt;=4,Ventas!$N$5,0)</f>
        <v>0</v>
      </c>
      <c r="P7" s="748">
        <f t="shared" si="8"/>
        <v>0</v>
      </c>
      <c r="Q7" s="350">
        <f t="shared" si="9"/>
        <v>0</v>
      </c>
      <c r="R7" s="258">
        <f t="shared" si="10"/>
        <v>0</v>
      </c>
      <c r="S7" s="144">
        <f>Ventas!$R$5</f>
        <v>0</v>
      </c>
      <c r="T7" s="748">
        <f t="shared" si="11"/>
        <v>0</v>
      </c>
    </row>
    <row r="8" spans="1:20" s="146" customFormat="1" ht="15">
      <c r="A8" s="347" t="s">
        <v>243</v>
      </c>
      <c r="B8" s="284"/>
      <c r="C8" s="144">
        <f>IF(Ventas!$A$5=1,Ventas!$C$5,0)</f>
        <v>0</v>
      </c>
      <c r="D8" s="748">
        <f t="shared" si="0"/>
        <v>0</v>
      </c>
      <c r="E8" s="143"/>
      <c r="F8" s="285">
        <f t="shared" si="1"/>
        <v>0</v>
      </c>
      <c r="G8" s="144">
        <f>IF(Ventas!$A$5&lt;=2,Ventas!$F$5,0)</f>
        <v>0</v>
      </c>
      <c r="H8" s="748">
        <f t="shared" si="2"/>
        <v>0</v>
      </c>
      <c r="I8" s="349">
        <f t="shared" si="3"/>
        <v>0</v>
      </c>
      <c r="J8" s="258">
        <f t="shared" si="4"/>
        <v>0</v>
      </c>
      <c r="K8" s="144">
        <f>IF(Ventas!$A$5&lt;=3,Ventas!$J$5,0)</f>
        <v>0</v>
      </c>
      <c r="L8" s="748">
        <f t="shared" si="5"/>
        <v>0</v>
      </c>
      <c r="M8" s="349">
        <f t="shared" si="6"/>
        <v>0</v>
      </c>
      <c r="N8" s="258">
        <f t="shared" si="7"/>
        <v>0</v>
      </c>
      <c r="O8" s="144">
        <f>IF(Ventas!$A$5&lt;=4,Ventas!$N$5,0)</f>
        <v>0</v>
      </c>
      <c r="P8" s="748">
        <f t="shared" si="8"/>
        <v>0</v>
      </c>
      <c r="Q8" s="350">
        <f t="shared" si="9"/>
        <v>0</v>
      </c>
      <c r="R8" s="258">
        <f t="shared" si="10"/>
        <v>0</v>
      </c>
      <c r="S8" s="144">
        <f>Ventas!$R$5</f>
        <v>0</v>
      </c>
      <c r="T8" s="748">
        <f t="shared" si="11"/>
        <v>0</v>
      </c>
    </row>
    <row r="9" spans="1:20" s="146" customFormat="1" ht="15">
      <c r="A9" s="347" t="s">
        <v>242</v>
      </c>
      <c r="B9" s="284"/>
      <c r="C9" s="144">
        <f>IF(Ventas!$A$5=1,Ventas!$C$5,0)</f>
        <v>0</v>
      </c>
      <c r="D9" s="748">
        <f t="shared" si="0"/>
        <v>0</v>
      </c>
      <c r="E9" s="143"/>
      <c r="F9" s="285">
        <f t="shared" si="1"/>
        <v>0</v>
      </c>
      <c r="G9" s="144">
        <f>IF(Ventas!$A$5&lt;=2,Ventas!$F$5,0)</f>
        <v>0</v>
      </c>
      <c r="H9" s="748">
        <f t="shared" si="2"/>
        <v>0</v>
      </c>
      <c r="I9" s="349">
        <f t="shared" si="3"/>
        <v>0</v>
      </c>
      <c r="J9" s="258">
        <f t="shared" si="4"/>
        <v>0</v>
      </c>
      <c r="K9" s="144">
        <f>IF(Ventas!$A$5&lt;=3,Ventas!$J$5,0)</f>
        <v>0</v>
      </c>
      <c r="L9" s="748">
        <f t="shared" si="5"/>
        <v>0</v>
      </c>
      <c r="M9" s="349">
        <f t="shared" si="6"/>
        <v>0</v>
      </c>
      <c r="N9" s="258">
        <f t="shared" si="7"/>
        <v>0</v>
      </c>
      <c r="O9" s="144">
        <f>IF(Ventas!$A$5&lt;=4,Ventas!$N$5,0)</f>
        <v>0</v>
      </c>
      <c r="P9" s="748">
        <f t="shared" si="8"/>
        <v>0</v>
      </c>
      <c r="Q9" s="350">
        <f t="shared" si="9"/>
        <v>0</v>
      </c>
      <c r="R9" s="258">
        <f t="shared" si="10"/>
        <v>0</v>
      </c>
      <c r="S9" s="144">
        <f>Ventas!$R$5</f>
        <v>0</v>
      </c>
      <c r="T9" s="748">
        <f t="shared" si="11"/>
        <v>0</v>
      </c>
    </row>
    <row r="10" spans="1:20" s="146" customFormat="1" ht="15">
      <c r="A10" s="347" t="s">
        <v>244</v>
      </c>
      <c r="B10" s="284"/>
      <c r="C10" s="144">
        <f>IF(Ventas!$A$5=1,Ventas!$C$5,0)</f>
        <v>0</v>
      </c>
      <c r="D10" s="748">
        <f t="shared" si="0"/>
        <v>0</v>
      </c>
      <c r="E10" s="143"/>
      <c r="F10" s="285">
        <f t="shared" si="1"/>
        <v>0</v>
      </c>
      <c r="G10" s="144">
        <f>IF(Ventas!$A$5&lt;=2,Ventas!$F$5,0)</f>
        <v>0</v>
      </c>
      <c r="H10" s="748">
        <f t="shared" si="2"/>
        <v>0</v>
      </c>
      <c r="I10" s="349">
        <f t="shared" si="3"/>
        <v>0</v>
      </c>
      <c r="J10" s="258">
        <f t="shared" si="4"/>
        <v>0</v>
      </c>
      <c r="K10" s="144">
        <f>IF(Ventas!$A$5&lt;=3,Ventas!$J$5,0)</f>
        <v>0</v>
      </c>
      <c r="L10" s="748">
        <f t="shared" si="5"/>
        <v>0</v>
      </c>
      <c r="M10" s="349">
        <f t="shared" si="6"/>
        <v>0</v>
      </c>
      <c r="N10" s="258">
        <f t="shared" si="7"/>
        <v>0</v>
      </c>
      <c r="O10" s="144">
        <f>IF(Ventas!$A$5&lt;=4,Ventas!$N$5,0)</f>
        <v>0</v>
      </c>
      <c r="P10" s="748">
        <f t="shared" si="8"/>
        <v>0</v>
      </c>
      <c r="Q10" s="350">
        <f t="shared" si="9"/>
        <v>0</v>
      </c>
      <c r="R10" s="258">
        <f t="shared" si="10"/>
        <v>0</v>
      </c>
      <c r="S10" s="144">
        <f>Ventas!$R$5</f>
        <v>0</v>
      </c>
      <c r="T10" s="748">
        <f t="shared" si="11"/>
        <v>0</v>
      </c>
    </row>
    <row r="11" spans="1:20" s="146" customFormat="1" ht="15">
      <c r="A11" s="358" t="s">
        <v>201</v>
      </c>
      <c r="B11" s="273"/>
      <c r="C11" s="144">
        <f>IF(Ventas!$A$5=1,Ventas!$C$5,0)</f>
        <v>0</v>
      </c>
      <c r="D11" s="748">
        <f>B11*C11*Ventas!$D$5</f>
        <v>0</v>
      </c>
      <c r="E11" s="147"/>
      <c r="F11" s="540">
        <f>B11</f>
        <v>0</v>
      </c>
      <c r="G11" s="144">
        <f>IF(Ventas!$A$5&lt;=2,Ventas!$F$5,0)</f>
        <v>0</v>
      </c>
      <c r="H11" s="748">
        <f>F11*G11*Ventas!$H$5</f>
        <v>0</v>
      </c>
      <c r="I11" s="148">
        <f t="shared" si="3"/>
        <v>0</v>
      </c>
      <c r="J11" s="540">
        <f>F11</f>
        <v>0</v>
      </c>
      <c r="K11" s="144">
        <f>IF(Ventas!$A$5&lt;=3,Ventas!$J$5,0)</f>
        <v>0</v>
      </c>
      <c r="L11" s="748">
        <f>J11*K11*Ventas!$L$5</f>
        <v>0</v>
      </c>
      <c r="M11" s="148">
        <f t="shared" si="6"/>
        <v>0</v>
      </c>
      <c r="N11" s="540">
        <f>J11</f>
        <v>0</v>
      </c>
      <c r="O11" s="144">
        <f>IF(Ventas!$A$5&lt;=4,Ventas!$N$5,0)</f>
        <v>0</v>
      </c>
      <c r="P11" s="748">
        <f>N11*O11*Ventas!$P$5</f>
        <v>0</v>
      </c>
      <c r="Q11" s="142">
        <f t="shared" si="9"/>
        <v>0</v>
      </c>
      <c r="R11" s="540">
        <f>N11</f>
        <v>0</v>
      </c>
      <c r="S11" s="144">
        <f>Ventas!$R$5</f>
        <v>0</v>
      </c>
      <c r="T11" s="748">
        <f>R11*S11*Ventas!$T$5</f>
        <v>0</v>
      </c>
    </row>
    <row r="12" spans="1:20" s="146" customFormat="1" ht="15">
      <c r="A12" s="358" t="s">
        <v>202</v>
      </c>
      <c r="B12" s="273"/>
      <c r="C12" s="144">
        <f>IF(Ventas!$A$5=1,Ventas!$C$5,0)</f>
        <v>0</v>
      </c>
      <c r="D12" s="748">
        <f>B12*C12*Ventas!$D$5</f>
        <v>0</v>
      </c>
      <c r="E12" s="147"/>
      <c r="F12" s="540">
        <f>B12</f>
        <v>0</v>
      </c>
      <c r="G12" s="144">
        <f>IF(Ventas!$A$5&lt;=2,Ventas!$F$5,0)</f>
        <v>0</v>
      </c>
      <c r="H12" s="748">
        <f>F12*G12*Ventas!$H$5</f>
        <v>0</v>
      </c>
      <c r="I12" s="148">
        <f t="shared" si="3"/>
        <v>0</v>
      </c>
      <c r="J12" s="540">
        <f>F12</f>
        <v>0</v>
      </c>
      <c r="K12" s="144">
        <f>IF(Ventas!$A$5&lt;=3,Ventas!$J$5,0)</f>
        <v>0</v>
      </c>
      <c r="L12" s="748">
        <f>J12*K12*Ventas!$L$5</f>
        <v>0</v>
      </c>
      <c r="M12" s="148">
        <f t="shared" si="6"/>
        <v>0</v>
      </c>
      <c r="N12" s="540">
        <f>J12</f>
        <v>0</v>
      </c>
      <c r="O12" s="144">
        <f>IF(Ventas!$A$5&lt;=4,Ventas!$N$5,0)</f>
        <v>0</v>
      </c>
      <c r="P12" s="748">
        <f>N12*O12*Ventas!$P$5</f>
        <v>0</v>
      </c>
      <c r="Q12" s="142">
        <f t="shared" si="9"/>
        <v>0</v>
      </c>
      <c r="R12" s="540">
        <f>N12</f>
        <v>0</v>
      </c>
      <c r="S12" s="144">
        <f>Ventas!$R$5</f>
        <v>0</v>
      </c>
      <c r="T12" s="748">
        <f>R12*S12*Ventas!$T$5</f>
        <v>0</v>
      </c>
    </row>
    <row r="13" spans="1:20" ht="17.25" thickBot="1">
      <c r="A13" s="49" t="s">
        <v>203</v>
      </c>
      <c r="B13" s="751">
        <f>SUM(B5:B10)+SUM('G. Variables'!B11:B12)*Ventas!D5</f>
        <v>0</v>
      </c>
      <c r="C13" s="287"/>
      <c r="D13" s="749">
        <f>SUM(D5:D12)</f>
        <v>0</v>
      </c>
      <c r="E13" s="51"/>
      <c r="F13" s="286">
        <f>SUM(F5:F10)+SUM('G. Variables'!F11:F12)*Ventas!H5</f>
        <v>0</v>
      </c>
      <c r="G13" s="287"/>
      <c r="H13" s="749">
        <f>SUM(H5:H12)</f>
        <v>0</v>
      </c>
      <c r="I13" s="51"/>
      <c r="J13" s="286">
        <f>SUM(J5:J10)+SUM('G. Variables'!J11:J12)*Ventas!L5</f>
        <v>0</v>
      </c>
      <c r="K13" s="287"/>
      <c r="L13" s="749">
        <f>SUM(L5:L12)</f>
        <v>0</v>
      </c>
      <c r="M13" s="51"/>
      <c r="N13" s="286">
        <f>SUM(N5:N10)+SUM('G. Variables'!N11:N12)*Ventas!P5</f>
        <v>0</v>
      </c>
      <c r="O13" s="287"/>
      <c r="P13" s="749">
        <f>SUM(P5:P12)</f>
        <v>0</v>
      </c>
      <c r="Q13" s="50"/>
      <c r="R13" s="286">
        <f>SUM(R5:R10)+SUM('G. Variables'!R11:R12)*Ventas!T5</f>
        <v>0</v>
      </c>
      <c r="S13" s="287"/>
      <c r="T13" s="749">
        <f>SUM(T5:T12)</f>
        <v>0</v>
      </c>
    </row>
    <row r="14" spans="1:20" ht="33">
      <c r="A14" s="52">
        <f>Ventas!B7</f>
        <v>0</v>
      </c>
      <c r="B14" s="44" t="s">
        <v>209</v>
      </c>
      <c r="C14" s="263" t="s">
        <v>210</v>
      </c>
      <c r="D14" s="750" t="s">
        <v>211</v>
      </c>
      <c r="E14" s="44" t="s">
        <v>212</v>
      </c>
      <c r="F14" s="253" t="s">
        <v>209</v>
      </c>
      <c r="G14" s="263" t="s">
        <v>210</v>
      </c>
      <c r="H14" s="750" t="s">
        <v>211</v>
      </c>
      <c r="I14" s="44" t="s">
        <v>212</v>
      </c>
      <c r="J14" s="253" t="s">
        <v>209</v>
      </c>
      <c r="K14" s="263" t="s">
        <v>210</v>
      </c>
      <c r="L14" s="750" t="s">
        <v>211</v>
      </c>
      <c r="M14" s="44" t="s">
        <v>212</v>
      </c>
      <c r="N14" s="253" t="s">
        <v>209</v>
      </c>
      <c r="O14" s="263" t="s">
        <v>210</v>
      </c>
      <c r="P14" s="750" t="s">
        <v>211</v>
      </c>
      <c r="Q14" s="44" t="s">
        <v>212</v>
      </c>
      <c r="R14" s="253" t="s">
        <v>209</v>
      </c>
      <c r="S14" s="263" t="s">
        <v>210</v>
      </c>
      <c r="T14" s="750" t="s">
        <v>211</v>
      </c>
    </row>
    <row r="15" spans="1:20" s="149" customFormat="1" ht="15">
      <c r="A15" s="347" t="str">
        <f>A5</f>
        <v>Coste mercaderías</v>
      </c>
      <c r="B15" s="284"/>
      <c r="C15" s="144">
        <f>IF(Ventas!$A$7=1,Ventas!$C$7,0)</f>
        <v>0</v>
      </c>
      <c r="D15" s="748">
        <f t="shared" ref="D15:D20" si="12">B15*C15</f>
        <v>0</v>
      </c>
      <c r="E15" s="143"/>
      <c r="F15" s="285">
        <f t="shared" ref="F15:F20" si="13">B15*(1+E15)</f>
        <v>0</v>
      </c>
      <c r="G15" s="144">
        <f>IF(Ventas!$A$7&lt;=2,Ventas!$F$7,0)</f>
        <v>0</v>
      </c>
      <c r="H15" s="748">
        <f t="shared" ref="H15:H20" si="14">F15*G15</f>
        <v>0</v>
      </c>
      <c r="I15" s="349">
        <f t="shared" ref="I15:I20" si="15">E15</f>
        <v>0</v>
      </c>
      <c r="J15" s="258">
        <f t="shared" ref="J15:J20" si="16">F15*(1+I15)</f>
        <v>0</v>
      </c>
      <c r="K15" s="144">
        <f>IF(Ventas!$A$7&lt;=3,Ventas!$J$7,0)</f>
        <v>0</v>
      </c>
      <c r="L15" s="748">
        <f t="shared" ref="L15:L20" si="17">J15*K15</f>
        <v>0</v>
      </c>
      <c r="M15" s="349">
        <f t="shared" ref="M15:M20" si="18">I15</f>
        <v>0</v>
      </c>
      <c r="N15" s="258">
        <f t="shared" ref="N15:N20" si="19">J15*(1+M15)</f>
        <v>0</v>
      </c>
      <c r="O15" s="144">
        <f>IF(Ventas!$A$7&lt;=4,Ventas!$N$7,0)</f>
        <v>0</v>
      </c>
      <c r="P15" s="748">
        <f t="shared" ref="P15:P20" si="20">N15*O15</f>
        <v>0</v>
      </c>
      <c r="Q15" s="350">
        <f t="shared" ref="Q15:Q20" si="21">M15</f>
        <v>0</v>
      </c>
      <c r="R15" s="258">
        <f t="shared" ref="R15:R20" si="22">N15*(1+Q15)</f>
        <v>0</v>
      </c>
      <c r="S15" s="144">
        <f>Ventas!$R$7</f>
        <v>0</v>
      </c>
      <c r="T15" s="748">
        <f t="shared" ref="T15:T20" si="23">R15*S15</f>
        <v>0</v>
      </c>
    </row>
    <row r="16" spans="1:20" s="153" customFormat="1" ht="15">
      <c r="A16" s="347" t="str">
        <f t="shared" ref="A16:A22" si="24">A6</f>
        <v>Coste materias primas</v>
      </c>
      <c r="B16" s="284"/>
      <c r="C16" s="144">
        <f>IF(Ventas!$A$7=1,Ventas!$C$7,0)</f>
        <v>0</v>
      </c>
      <c r="D16" s="748">
        <f t="shared" si="12"/>
        <v>0</v>
      </c>
      <c r="E16" s="143"/>
      <c r="F16" s="285">
        <f t="shared" si="13"/>
        <v>0</v>
      </c>
      <c r="G16" s="144">
        <f>IF(Ventas!$A$7&lt;=2,Ventas!$F$7,0)</f>
        <v>0</v>
      </c>
      <c r="H16" s="748">
        <f t="shared" si="14"/>
        <v>0</v>
      </c>
      <c r="I16" s="349">
        <f t="shared" si="15"/>
        <v>0</v>
      </c>
      <c r="J16" s="258">
        <f t="shared" si="16"/>
        <v>0</v>
      </c>
      <c r="K16" s="144">
        <f>IF(Ventas!$A$7&lt;=3,Ventas!$J$7,0)</f>
        <v>0</v>
      </c>
      <c r="L16" s="748">
        <f t="shared" si="17"/>
        <v>0</v>
      </c>
      <c r="M16" s="349">
        <f t="shared" si="18"/>
        <v>0</v>
      </c>
      <c r="N16" s="258">
        <f t="shared" si="19"/>
        <v>0</v>
      </c>
      <c r="O16" s="144">
        <f>IF(Ventas!$A$7&lt;=4,Ventas!$N$7,0)</f>
        <v>0</v>
      </c>
      <c r="P16" s="748">
        <f t="shared" si="20"/>
        <v>0</v>
      </c>
      <c r="Q16" s="350">
        <f t="shared" si="21"/>
        <v>0</v>
      </c>
      <c r="R16" s="258">
        <f t="shared" si="22"/>
        <v>0</v>
      </c>
      <c r="S16" s="144">
        <f>Ventas!$R$7</f>
        <v>0</v>
      </c>
      <c r="T16" s="748">
        <f t="shared" si="23"/>
        <v>0</v>
      </c>
    </row>
    <row r="17" spans="1:20" s="150" customFormat="1" ht="15">
      <c r="A17" s="347" t="str">
        <f t="shared" si="24"/>
        <v>Subcontratación</v>
      </c>
      <c r="B17" s="284"/>
      <c r="C17" s="144">
        <f>IF(Ventas!$A$7=1,Ventas!$C$7,0)</f>
        <v>0</v>
      </c>
      <c r="D17" s="748">
        <f t="shared" si="12"/>
        <v>0</v>
      </c>
      <c r="E17" s="143"/>
      <c r="F17" s="285">
        <f t="shared" si="13"/>
        <v>0</v>
      </c>
      <c r="G17" s="144">
        <f>IF(Ventas!$A$7&lt;=2,Ventas!$F$7,0)</f>
        <v>0</v>
      </c>
      <c r="H17" s="748">
        <f t="shared" si="14"/>
        <v>0</v>
      </c>
      <c r="I17" s="349">
        <f t="shared" si="15"/>
        <v>0</v>
      </c>
      <c r="J17" s="258">
        <f t="shared" si="16"/>
        <v>0</v>
      </c>
      <c r="K17" s="144">
        <f>IF(Ventas!$A$7&lt;=3,Ventas!$J$7,0)</f>
        <v>0</v>
      </c>
      <c r="L17" s="748">
        <f t="shared" si="17"/>
        <v>0</v>
      </c>
      <c r="M17" s="349">
        <f t="shared" si="18"/>
        <v>0</v>
      </c>
      <c r="N17" s="258">
        <f t="shared" si="19"/>
        <v>0</v>
      </c>
      <c r="O17" s="144">
        <f>IF(Ventas!$A$7&lt;=4,Ventas!$N$7,0)</f>
        <v>0</v>
      </c>
      <c r="P17" s="748">
        <f t="shared" si="20"/>
        <v>0</v>
      </c>
      <c r="Q17" s="350">
        <f t="shared" si="21"/>
        <v>0</v>
      </c>
      <c r="R17" s="258">
        <f t="shared" si="22"/>
        <v>0</v>
      </c>
      <c r="S17" s="144">
        <f>Ventas!$R$7</f>
        <v>0</v>
      </c>
      <c r="T17" s="748">
        <f t="shared" si="23"/>
        <v>0</v>
      </c>
    </row>
    <row r="18" spans="1:20" s="146" customFormat="1" ht="15">
      <c r="A18" s="347" t="str">
        <f t="shared" si="24"/>
        <v>Envase y embalaje</v>
      </c>
      <c r="B18" s="284"/>
      <c r="C18" s="144">
        <f>IF(Ventas!$A$7=1,Ventas!$C$7,0)</f>
        <v>0</v>
      </c>
      <c r="D18" s="748">
        <f t="shared" si="12"/>
        <v>0</v>
      </c>
      <c r="E18" s="143"/>
      <c r="F18" s="285">
        <f t="shared" si="13"/>
        <v>0</v>
      </c>
      <c r="G18" s="144">
        <f>IF(Ventas!$A$7&lt;=2,Ventas!$F$7,0)</f>
        <v>0</v>
      </c>
      <c r="H18" s="748">
        <f t="shared" si="14"/>
        <v>0</v>
      </c>
      <c r="I18" s="349">
        <f t="shared" si="15"/>
        <v>0</v>
      </c>
      <c r="J18" s="258">
        <f t="shared" si="16"/>
        <v>0</v>
      </c>
      <c r="K18" s="144">
        <f>IF(Ventas!$A$7&lt;=3,Ventas!$J$7,0)</f>
        <v>0</v>
      </c>
      <c r="L18" s="748">
        <f t="shared" si="17"/>
        <v>0</v>
      </c>
      <c r="M18" s="349">
        <f t="shared" si="18"/>
        <v>0</v>
      </c>
      <c r="N18" s="258">
        <f t="shared" si="19"/>
        <v>0</v>
      </c>
      <c r="O18" s="144">
        <f>IF(Ventas!$A$7&lt;=4,Ventas!$N$7,0)</f>
        <v>0</v>
      </c>
      <c r="P18" s="748">
        <f t="shared" si="20"/>
        <v>0</v>
      </c>
      <c r="Q18" s="350">
        <f t="shared" si="21"/>
        <v>0</v>
      </c>
      <c r="R18" s="258">
        <f t="shared" si="22"/>
        <v>0</v>
      </c>
      <c r="S18" s="144">
        <f>Ventas!$R$7</f>
        <v>0</v>
      </c>
      <c r="T18" s="748">
        <f t="shared" si="23"/>
        <v>0</v>
      </c>
    </row>
    <row r="19" spans="1:20" s="146" customFormat="1" ht="15">
      <c r="A19" s="347" t="str">
        <f t="shared" si="24"/>
        <v>Transporte</v>
      </c>
      <c r="B19" s="284"/>
      <c r="C19" s="144">
        <f>IF(Ventas!$A$7=1,Ventas!$C$7,0)</f>
        <v>0</v>
      </c>
      <c r="D19" s="748">
        <f t="shared" si="12"/>
        <v>0</v>
      </c>
      <c r="E19" s="143"/>
      <c r="F19" s="285">
        <f t="shared" si="13"/>
        <v>0</v>
      </c>
      <c r="G19" s="144">
        <f>IF(Ventas!$A$7&lt;=2,Ventas!$F$7,0)</f>
        <v>0</v>
      </c>
      <c r="H19" s="748">
        <f t="shared" si="14"/>
        <v>0</v>
      </c>
      <c r="I19" s="349">
        <f t="shared" si="15"/>
        <v>0</v>
      </c>
      <c r="J19" s="258">
        <f t="shared" si="16"/>
        <v>0</v>
      </c>
      <c r="K19" s="144">
        <f>IF(Ventas!$A$7&lt;=3,Ventas!$J$7,0)</f>
        <v>0</v>
      </c>
      <c r="L19" s="748">
        <f t="shared" si="17"/>
        <v>0</v>
      </c>
      <c r="M19" s="349">
        <f t="shared" si="18"/>
        <v>0</v>
      </c>
      <c r="N19" s="258">
        <f t="shared" si="19"/>
        <v>0</v>
      </c>
      <c r="O19" s="144">
        <f>IF(Ventas!$A$7&lt;=4,Ventas!$N$7,0)</f>
        <v>0</v>
      </c>
      <c r="P19" s="748">
        <f t="shared" si="20"/>
        <v>0</v>
      </c>
      <c r="Q19" s="350">
        <f t="shared" si="21"/>
        <v>0</v>
      </c>
      <c r="R19" s="258">
        <f t="shared" si="22"/>
        <v>0</v>
      </c>
      <c r="S19" s="144">
        <f>Ventas!$R$7</f>
        <v>0</v>
      </c>
      <c r="T19" s="748">
        <f t="shared" si="23"/>
        <v>0</v>
      </c>
    </row>
    <row r="20" spans="1:20" s="146" customFormat="1" ht="15">
      <c r="A20" s="347" t="str">
        <f t="shared" si="24"/>
        <v>Otros costes variables</v>
      </c>
      <c r="B20" s="284"/>
      <c r="C20" s="144">
        <f>IF(Ventas!$A$7=1,Ventas!$C$7,0)</f>
        <v>0</v>
      </c>
      <c r="D20" s="748">
        <f t="shared" si="12"/>
        <v>0</v>
      </c>
      <c r="E20" s="143"/>
      <c r="F20" s="285">
        <f t="shared" si="13"/>
        <v>0</v>
      </c>
      <c r="G20" s="144">
        <f>IF(Ventas!$A$7&lt;=2,Ventas!$F$7,0)</f>
        <v>0</v>
      </c>
      <c r="H20" s="748">
        <f t="shared" si="14"/>
        <v>0</v>
      </c>
      <c r="I20" s="349">
        <f t="shared" si="15"/>
        <v>0</v>
      </c>
      <c r="J20" s="258">
        <f t="shared" si="16"/>
        <v>0</v>
      </c>
      <c r="K20" s="144">
        <f>IF(Ventas!$A$7&lt;=3,Ventas!$J$7,0)</f>
        <v>0</v>
      </c>
      <c r="L20" s="748">
        <f t="shared" si="17"/>
        <v>0</v>
      </c>
      <c r="M20" s="349">
        <f t="shared" si="18"/>
        <v>0</v>
      </c>
      <c r="N20" s="258">
        <f t="shared" si="19"/>
        <v>0</v>
      </c>
      <c r="O20" s="144">
        <f>IF(Ventas!$A$7&lt;=4,Ventas!$N$7,0)</f>
        <v>0</v>
      </c>
      <c r="P20" s="748">
        <f t="shared" si="20"/>
        <v>0</v>
      </c>
      <c r="Q20" s="350">
        <f t="shared" si="21"/>
        <v>0</v>
      </c>
      <c r="R20" s="258">
        <f t="shared" si="22"/>
        <v>0</v>
      </c>
      <c r="S20" s="144">
        <f>Ventas!$R$7</f>
        <v>0</v>
      </c>
      <c r="T20" s="748">
        <f t="shared" si="23"/>
        <v>0</v>
      </c>
    </row>
    <row r="21" spans="1:20" s="146" customFormat="1" ht="15">
      <c r="A21" s="358" t="str">
        <f t="shared" si="24"/>
        <v>Comisiones % 1</v>
      </c>
      <c r="B21" s="273"/>
      <c r="C21" s="144">
        <f>IF(Ventas!$A$7=1,Ventas!$C$7,0)</f>
        <v>0</v>
      </c>
      <c r="D21" s="748">
        <f>B21*C21*Ventas!$D$7</f>
        <v>0</v>
      </c>
      <c r="E21" s="147"/>
      <c r="F21" s="540">
        <f>B21</f>
        <v>0</v>
      </c>
      <c r="G21" s="144">
        <f>IF(Ventas!$A$7&lt;=2,Ventas!$F$7,0)</f>
        <v>0</v>
      </c>
      <c r="H21" s="748">
        <f>F21*G21*Ventas!$H$7</f>
        <v>0</v>
      </c>
      <c r="I21" s="148"/>
      <c r="J21" s="540">
        <f>F21</f>
        <v>0</v>
      </c>
      <c r="K21" s="144">
        <f>IF(Ventas!$A$7&lt;=3,Ventas!$J$7,0)</f>
        <v>0</v>
      </c>
      <c r="L21" s="748">
        <f>J21*K21*Ventas!$L$7</f>
        <v>0</v>
      </c>
      <c r="M21" s="148"/>
      <c r="N21" s="540">
        <f>J21</f>
        <v>0</v>
      </c>
      <c r="O21" s="144">
        <f>IF(Ventas!$A$7&lt;=4,Ventas!$N$7,0)</f>
        <v>0</v>
      </c>
      <c r="P21" s="748">
        <f>N21*O21*Ventas!$P$7</f>
        <v>0</v>
      </c>
      <c r="Q21" s="142"/>
      <c r="R21" s="540">
        <f>N21</f>
        <v>0</v>
      </c>
      <c r="S21" s="144">
        <f>Ventas!$R$7</f>
        <v>0</v>
      </c>
      <c r="T21" s="748">
        <f>R21*S21*Ventas!$T$7</f>
        <v>0</v>
      </c>
    </row>
    <row r="22" spans="1:20" s="146" customFormat="1" ht="15">
      <c r="A22" s="358" t="str">
        <f t="shared" si="24"/>
        <v>Comisiones % 2</v>
      </c>
      <c r="B22" s="273"/>
      <c r="C22" s="144">
        <f>IF(Ventas!$A$7=1,Ventas!$C$7,0)</f>
        <v>0</v>
      </c>
      <c r="D22" s="748">
        <f>B22*C22*Ventas!$D$7</f>
        <v>0</v>
      </c>
      <c r="E22" s="147"/>
      <c r="F22" s="540">
        <f>B22</f>
        <v>0</v>
      </c>
      <c r="G22" s="144">
        <f>IF(Ventas!$A$7&lt;=2,Ventas!$F$7,0)</f>
        <v>0</v>
      </c>
      <c r="H22" s="748">
        <f>F22*G22*Ventas!$H$7</f>
        <v>0</v>
      </c>
      <c r="I22" s="148"/>
      <c r="J22" s="540">
        <f>F22</f>
        <v>0</v>
      </c>
      <c r="K22" s="144">
        <f>IF(Ventas!$A$7&lt;=3,Ventas!$J$7,0)</f>
        <v>0</v>
      </c>
      <c r="L22" s="748">
        <f>J22*K22*Ventas!$L$7</f>
        <v>0</v>
      </c>
      <c r="M22" s="148"/>
      <c r="N22" s="540">
        <f>J22</f>
        <v>0</v>
      </c>
      <c r="O22" s="144">
        <f>IF(Ventas!$A$7&lt;=4,Ventas!$N$7,0)</f>
        <v>0</v>
      </c>
      <c r="P22" s="748">
        <f>N22*O22*Ventas!$P$7</f>
        <v>0</v>
      </c>
      <c r="Q22" s="142"/>
      <c r="R22" s="540">
        <f>N22</f>
        <v>0</v>
      </c>
      <c r="S22" s="144">
        <f>Ventas!$R$7</f>
        <v>0</v>
      </c>
      <c r="T22" s="748">
        <f>R22*S22*Ventas!$T$7</f>
        <v>0</v>
      </c>
    </row>
    <row r="23" spans="1:20" ht="17.25" thickBot="1">
      <c r="A23" s="49" t="s">
        <v>203</v>
      </c>
      <c r="B23" s="751">
        <f>SUM(B15:B20)+SUM('G. Variables'!B21:B22)*Ventas!D14</f>
        <v>0</v>
      </c>
      <c r="C23" s="287"/>
      <c r="D23" s="749">
        <f>SUM(D15:D22)</f>
        <v>0</v>
      </c>
      <c r="E23" s="51"/>
      <c r="F23" s="286">
        <f>SUM(F15:F20)+SUM('G. Variables'!F21:F22)*Ventas!H14</f>
        <v>0</v>
      </c>
      <c r="G23" s="287"/>
      <c r="H23" s="749">
        <f>SUM(H15:H22)</f>
        <v>0</v>
      </c>
      <c r="I23" s="51"/>
      <c r="J23" s="286">
        <f>SUM(J15:J20)+SUM('G. Variables'!J21:J22)*Ventas!L14</f>
        <v>0</v>
      </c>
      <c r="K23" s="287"/>
      <c r="L23" s="749">
        <f>SUM(L15:L22)</f>
        <v>0</v>
      </c>
      <c r="M23" s="51"/>
      <c r="N23" s="286">
        <f>SUM(N15:N20)+SUM('G. Variables'!N21:N22)*Ventas!P14</f>
        <v>0</v>
      </c>
      <c r="O23" s="287"/>
      <c r="P23" s="749">
        <f>SUM(P15:P22)</f>
        <v>0</v>
      </c>
      <c r="Q23" s="50"/>
      <c r="R23" s="286">
        <f>SUM(R15:R20)+SUM('G. Variables'!R21:R22)*Ventas!T14</f>
        <v>0</v>
      </c>
      <c r="S23" s="287"/>
      <c r="T23" s="749">
        <f>SUM(T15:T22)</f>
        <v>0</v>
      </c>
    </row>
    <row r="24" spans="1:20" ht="33">
      <c r="A24" s="52">
        <f>Ventas!B9</f>
        <v>0</v>
      </c>
      <c r="B24" s="44" t="s">
        <v>209</v>
      </c>
      <c r="C24" s="263" t="s">
        <v>210</v>
      </c>
      <c r="D24" s="750" t="s">
        <v>211</v>
      </c>
      <c r="E24" s="44" t="s">
        <v>212</v>
      </c>
      <c r="F24" s="253" t="s">
        <v>209</v>
      </c>
      <c r="G24" s="263" t="s">
        <v>210</v>
      </c>
      <c r="H24" s="750" t="s">
        <v>211</v>
      </c>
      <c r="I24" s="44" t="s">
        <v>212</v>
      </c>
      <c r="J24" s="253" t="s">
        <v>209</v>
      </c>
      <c r="K24" s="263" t="s">
        <v>210</v>
      </c>
      <c r="L24" s="750" t="s">
        <v>211</v>
      </c>
      <c r="M24" s="44" t="s">
        <v>212</v>
      </c>
      <c r="N24" s="253" t="s">
        <v>209</v>
      </c>
      <c r="O24" s="263" t="s">
        <v>210</v>
      </c>
      <c r="P24" s="750" t="s">
        <v>211</v>
      </c>
      <c r="Q24" s="44" t="s">
        <v>212</v>
      </c>
      <c r="R24" s="253" t="s">
        <v>209</v>
      </c>
      <c r="S24" s="263" t="s">
        <v>210</v>
      </c>
      <c r="T24" s="750" t="s">
        <v>211</v>
      </c>
    </row>
    <row r="25" spans="1:20" s="150" customFormat="1" ht="15">
      <c r="A25" s="347" t="str">
        <f>A15</f>
        <v>Coste mercaderías</v>
      </c>
      <c r="B25" s="284"/>
      <c r="C25" s="144">
        <f>IF(Ventas!$A$9=1,Ventas!$C$9,0)</f>
        <v>0</v>
      </c>
      <c r="D25" s="748">
        <f t="shared" ref="D25:D30" si="25">B25*C25</f>
        <v>0</v>
      </c>
      <c r="E25" s="143"/>
      <c r="F25" s="285">
        <f t="shared" ref="F25:F30" si="26">B25*(1+E25)</f>
        <v>0</v>
      </c>
      <c r="G25" s="144">
        <f>IF(Ventas!$A$9&lt;=2,Ventas!$F$9,0)</f>
        <v>0</v>
      </c>
      <c r="H25" s="748">
        <f t="shared" ref="H25:H30" si="27">F25*G25</f>
        <v>0</v>
      </c>
      <c r="I25" s="349">
        <f t="shared" ref="I25:I30" si="28">E25</f>
        <v>0</v>
      </c>
      <c r="J25" s="258">
        <f t="shared" ref="J25:J30" si="29">F25*(1+I25)</f>
        <v>0</v>
      </c>
      <c r="K25" s="144">
        <f>IF(Ventas!$A$9&lt;=3,Ventas!$J$9,0)</f>
        <v>0</v>
      </c>
      <c r="L25" s="748">
        <f t="shared" ref="L25:L30" si="30">J25*K25</f>
        <v>0</v>
      </c>
      <c r="M25" s="349">
        <f t="shared" ref="M25:M30" si="31">I25</f>
        <v>0</v>
      </c>
      <c r="N25" s="258">
        <f t="shared" ref="N25:N30" si="32">J25*(1+M25)</f>
        <v>0</v>
      </c>
      <c r="O25" s="144">
        <f>IF(Ventas!$A$9&lt;=4,Ventas!$N$9,0)</f>
        <v>0</v>
      </c>
      <c r="P25" s="748">
        <f t="shared" ref="P25:P30" si="33">N25*O25</f>
        <v>0</v>
      </c>
      <c r="Q25" s="350">
        <f t="shared" ref="Q25:Q30" si="34">M25</f>
        <v>0</v>
      </c>
      <c r="R25" s="258">
        <f t="shared" ref="R25:R30" si="35">N25*(1+Q25)</f>
        <v>0</v>
      </c>
      <c r="S25" s="144">
        <f>Ventas!$R$9</f>
        <v>0</v>
      </c>
      <c r="T25" s="748">
        <f t="shared" ref="T25:T30" si="36">R25*S25</f>
        <v>0</v>
      </c>
    </row>
    <row r="26" spans="1:20" s="150" customFormat="1" ht="15">
      <c r="A26" s="347" t="str">
        <f t="shared" ref="A26:A32" si="37">A16</f>
        <v>Coste materias primas</v>
      </c>
      <c r="B26" s="284"/>
      <c r="C26" s="144">
        <f>IF(Ventas!$A$9=1,Ventas!$C$9,0)</f>
        <v>0</v>
      </c>
      <c r="D26" s="748">
        <f t="shared" si="25"/>
        <v>0</v>
      </c>
      <c r="E26" s="143"/>
      <c r="F26" s="285">
        <f t="shared" si="26"/>
        <v>0</v>
      </c>
      <c r="G26" s="144">
        <f>IF(Ventas!$A$9&lt;=2,Ventas!$F$9,0)</f>
        <v>0</v>
      </c>
      <c r="H26" s="748">
        <f t="shared" si="27"/>
        <v>0</v>
      </c>
      <c r="I26" s="349">
        <f t="shared" si="28"/>
        <v>0</v>
      </c>
      <c r="J26" s="258">
        <f t="shared" si="29"/>
        <v>0</v>
      </c>
      <c r="K26" s="144">
        <f>IF(Ventas!$A$9&lt;=3,Ventas!$J$9,0)</f>
        <v>0</v>
      </c>
      <c r="L26" s="748">
        <f t="shared" si="30"/>
        <v>0</v>
      </c>
      <c r="M26" s="349">
        <f t="shared" si="31"/>
        <v>0</v>
      </c>
      <c r="N26" s="258">
        <f t="shared" si="32"/>
        <v>0</v>
      </c>
      <c r="O26" s="144">
        <f>IF(Ventas!$A$9&lt;=4,Ventas!$N$9,0)</f>
        <v>0</v>
      </c>
      <c r="P26" s="748">
        <f t="shared" si="33"/>
        <v>0</v>
      </c>
      <c r="Q26" s="350">
        <f t="shared" si="34"/>
        <v>0</v>
      </c>
      <c r="R26" s="258">
        <f t="shared" si="35"/>
        <v>0</v>
      </c>
      <c r="S26" s="144">
        <f>Ventas!$R$9</f>
        <v>0</v>
      </c>
      <c r="T26" s="748">
        <f t="shared" si="36"/>
        <v>0</v>
      </c>
    </row>
    <row r="27" spans="1:20" s="150" customFormat="1" ht="15">
      <c r="A27" s="347" t="str">
        <f t="shared" si="37"/>
        <v>Subcontratación</v>
      </c>
      <c r="B27" s="284"/>
      <c r="C27" s="144">
        <f>IF(Ventas!$A$9=1,Ventas!$C$9,0)</f>
        <v>0</v>
      </c>
      <c r="D27" s="748">
        <f t="shared" si="25"/>
        <v>0</v>
      </c>
      <c r="E27" s="143"/>
      <c r="F27" s="285">
        <f t="shared" si="26"/>
        <v>0</v>
      </c>
      <c r="G27" s="144">
        <f>IF(Ventas!$A$9&lt;=2,Ventas!$F$9,0)</f>
        <v>0</v>
      </c>
      <c r="H27" s="748">
        <f t="shared" si="27"/>
        <v>0</v>
      </c>
      <c r="I27" s="349">
        <f t="shared" si="28"/>
        <v>0</v>
      </c>
      <c r="J27" s="258">
        <f t="shared" si="29"/>
        <v>0</v>
      </c>
      <c r="K27" s="144">
        <f>IF(Ventas!$A$9&lt;=3,Ventas!$J$9,0)</f>
        <v>0</v>
      </c>
      <c r="L27" s="748">
        <f t="shared" si="30"/>
        <v>0</v>
      </c>
      <c r="M27" s="349">
        <f t="shared" si="31"/>
        <v>0</v>
      </c>
      <c r="N27" s="258">
        <f t="shared" si="32"/>
        <v>0</v>
      </c>
      <c r="O27" s="144">
        <f>IF(Ventas!$A$9&lt;=4,Ventas!$N$9,0)</f>
        <v>0</v>
      </c>
      <c r="P27" s="748">
        <f t="shared" si="33"/>
        <v>0</v>
      </c>
      <c r="Q27" s="350">
        <f t="shared" si="34"/>
        <v>0</v>
      </c>
      <c r="R27" s="258">
        <f t="shared" si="35"/>
        <v>0</v>
      </c>
      <c r="S27" s="144">
        <f>Ventas!$R$9</f>
        <v>0</v>
      </c>
      <c r="T27" s="748">
        <f t="shared" si="36"/>
        <v>0</v>
      </c>
    </row>
    <row r="28" spans="1:20" s="146" customFormat="1" ht="15">
      <c r="A28" s="347" t="str">
        <f t="shared" si="37"/>
        <v>Envase y embalaje</v>
      </c>
      <c r="B28" s="284"/>
      <c r="C28" s="144">
        <f>IF(Ventas!$A$9=1,Ventas!$C$9,0)</f>
        <v>0</v>
      </c>
      <c r="D28" s="748">
        <f t="shared" si="25"/>
        <v>0</v>
      </c>
      <c r="E28" s="143"/>
      <c r="F28" s="285">
        <f t="shared" si="26"/>
        <v>0</v>
      </c>
      <c r="G28" s="144">
        <f>IF(Ventas!$A$9&lt;=2,Ventas!$F$9,0)</f>
        <v>0</v>
      </c>
      <c r="H28" s="748">
        <f t="shared" si="27"/>
        <v>0</v>
      </c>
      <c r="I28" s="349">
        <f t="shared" si="28"/>
        <v>0</v>
      </c>
      <c r="J28" s="258">
        <f t="shared" si="29"/>
        <v>0</v>
      </c>
      <c r="K28" s="144">
        <f>IF(Ventas!$A$9&lt;=3,Ventas!$J$9,0)</f>
        <v>0</v>
      </c>
      <c r="L28" s="748">
        <f t="shared" si="30"/>
        <v>0</v>
      </c>
      <c r="M28" s="349">
        <f t="shared" si="31"/>
        <v>0</v>
      </c>
      <c r="N28" s="258">
        <f t="shared" si="32"/>
        <v>0</v>
      </c>
      <c r="O28" s="144">
        <f>IF(Ventas!$A$9&lt;=4,Ventas!$N$9,0)</f>
        <v>0</v>
      </c>
      <c r="P28" s="748">
        <f t="shared" si="33"/>
        <v>0</v>
      </c>
      <c r="Q28" s="350">
        <f t="shared" si="34"/>
        <v>0</v>
      </c>
      <c r="R28" s="258">
        <f t="shared" si="35"/>
        <v>0</v>
      </c>
      <c r="S28" s="144">
        <f>Ventas!$R$9</f>
        <v>0</v>
      </c>
      <c r="T28" s="748">
        <f t="shared" si="36"/>
        <v>0</v>
      </c>
    </row>
    <row r="29" spans="1:20" s="146" customFormat="1" ht="15">
      <c r="A29" s="347" t="str">
        <f t="shared" si="37"/>
        <v>Transporte</v>
      </c>
      <c r="B29" s="284"/>
      <c r="C29" s="144">
        <f>IF(Ventas!$A$9=1,Ventas!$C$9,0)</f>
        <v>0</v>
      </c>
      <c r="D29" s="748">
        <f t="shared" si="25"/>
        <v>0</v>
      </c>
      <c r="E29" s="143"/>
      <c r="F29" s="285">
        <f t="shared" si="26"/>
        <v>0</v>
      </c>
      <c r="G29" s="144">
        <f>IF(Ventas!$A$9&lt;=2,Ventas!$F$9,0)</f>
        <v>0</v>
      </c>
      <c r="H29" s="748">
        <f t="shared" si="27"/>
        <v>0</v>
      </c>
      <c r="I29" s="349">
        <f t="shared" si="28"/>
        <v>0</v>
      </c>
      <c r="J29" s="258">
        <f t="shared" si="29"/>
        <v>0</v>
      </c>
      <c r="K29" s="144">
        <f>IF(Ventas!$A$9&lt;=3,Ventas!$J$9,0)</f>
        <v>0</v>
      </c>
      <c r="L29" s="748">
        <f t="shared" si="30"/>
        <v>0</v>
      </c>
      <c r="M29" s="349">
        <f t="shared" si="31"/>
        <v>0</v>
      </c>
      <c r="N29" s="258">
        <f t="shared" si="32"/>
        <v>0</v>
      </c>
      <c r="O29" s="144">
        <f>IF(Ventas!$A$9&lt;=4,Ventas!$N$9,0)</f>
        <v>0</v>
      </c>
      <c r="P29" s="748">
        <f t="shared" si="33"/>
        <v>0</v>
      </c>
      <c r="Q29" s="350">
        <f t="shared" si="34"/>
        <v>0</v>
      </c>
      <c r="R29" s="258">
        <f t="shared" si="35"/>
        <v>0</v>
      </c>
      <c r="S29" s="144">
        <f>Ventas!$R$9</f>
        <v>0</v>
      </c>
      <c r="T29" s="748">
        <f t="shared" si="36"/>
        <v>0</v>
      </c>
    </row>
    <row r="30" spans="1:20" s="146" customFormat="1" ht="15">
      <c r="A30" s="347" t="str">
        <f t="shared" si="37"/>
        <v>Otros costes variables</v>
      </c>
      <c r="B30" s="284"/>
      <c r="C30" s="144">
        <f>IF(Ventas!$A$9=1,Ventas!$C$9,0)</f>
        <v>0</v>
      </c>
      <c r="D30" s="748">
        <f t="shared" si="25"/>
        <v>0</v>
      </c>
      <c r="E30" s="143"/>
      <c r="F30" s="285">
        <f t="shared" si="26"/>
        <v>0</v>
      </c>
      <c r="G30" s="144">
        <f>IF(Ventas!$A$9&lt;=2,Ventas!$F$9,0)</f>
        <v>0</v>
      </c>
      <c r="H30" s="748">
        <f t="shared" si="27"/>
        <v>0</v>
      </c>
      <c r="I30" s="349">
        <f t="shared" si="28"/>
        <v>0</v>
      </c>
      <c r="J30" s="258">
        <f t="shared" si="29"/>
        <v>0</v>
      </c>
      <c r="K30" s="144">
        <f>IF(Ventas!$A$9&lt;=3,Ventas!$J$9,0)</f>
        <v>0</v>
      </c>
      <c r="L30" s="748">
        <f t="shared" si="30"/>
        <v>0</v>
      </c>
      <c r="M30" s="349">
        <f t="shared" si="31"/>
        <v>0</v>
      </c>
      <c r="N30" s="258">
        <f t="shared" si="32"/>
        <v>0</v>
      </c>
      <c r="O30" s="144">
        <f>IF(Ventas!$A$9&lt;=4,Ventas!$N$9,0)</f>
        <v>0</v>
      </c>
      <c r="P30" s="748">
        <f t="shared" si="33"/>
        <v>0</v>
      </c>
      <c r="Q30" s="350">
        <f t="shared" si="34"/>
        <v>0</v>
      </c>
      <c r="R30" s="258">
        <f t="shared" si="35"/>
        <v>0</v>
      </c>
      <c r="S30" s="144">
        <f>Ventas!$R$9</f>
        <v>0</v>
      </c>
      <c r="T30" s="748">
        <f t="shared" si="36"/>
        <v>0</v>
      </c>
    </row>
    <row r="31" spans="1:20" s="146" customFormat="1" ht="15">
      <c r="A31" s="358" t="str">
        <f t="shared" si="37"/>
        <v>Comisiones % 1</v>
      </c>
      <c r="B31" s="273"/>
      <c r="C31" s="144">
        <f>IF(Ventas!$A$9=1,Ventas!$C$9,0)</f>
        <v>0</v>
      </c>
      <c r="D31" s="748">
        <f>B31*C31*Ventas!$D$9</f>
        <v>0</v>
      </c>
      <c r="E31" s="147"/>
      <c r="F31" s="540">
        <f>B31</f>
        <v>0</v>
      </c>
      <c r="G31" s="144">
        <f>IF(Ventas!$A$9&lt;=2,Ventas!$F$9,0)</f>
        <v>0</v>
      </c>
      <c r="H31" s="748">
        <f>F31*G31*Ventas!$H$9</f>
        <v>0</v>
      </c>
      <c r="I31" s="148"/>
      <c r="J31" s="540">
        <f>F31</f>
        <v>0</v>
      </c>
      <c r="K31" s="144">
        <f>IF(Ventas!$A$9&lt;=3,Ventas!$J$9,0)</f>
        <v>0</v>
      </c>
      <c r="L31" s="748">
        <f>J31*K31*Ventas!$L$9</f>
        <v>0</v>
      </c>
      <c r="M31" s="148"/>
      <c r="N31" s="540">
        <f>J31</f>
        <v>0</v>
      </c>
      <c r="O31" s="144">
        <f>IF(Ventas!$A$9&lt;=4,Ventas!$N$9,0)</f>
        <v>0</v>
      </c>
      <c r="P31" s="748">
        <f>N31*O31*Ventas!$P$9</f>
        <v>0</v>
      </c>
      <c r="Q31" s="142"/>
      <c r="R31" s="540">
        <f>N31</f>
        <v>0</v>
      </c>
      <c r="S31" s="144">
        <f>Ventas!$R$9</f>
        <v>0</v>
      </c>
      <c r="T31" s="748">
        <f>R31*S31*Ventas!$T$9</f>
        <v>0</v>
      </c>
    </row>
    <row r="32" spans="1:20" s="146" customFormat="1" ht="15">
      <c r="A32" s="358" t="str">
        <f t="shared" si="37"/>
        <v>Comisiones % 2</v>
      </c>
      <c r="B32" s="273"/>
      <c r="C32" s="144">
        <f>IF(Ventas!$A$9=1,Ventas!$C$9,0)</f>
        <v>0</v>
      </c>
      <c r="D32" s="748">
        <f>B32*C32*Ventas!$D$9</f>
        <v>0</v>
      </c>
      <c r="E32" s="147"/>
      <c r="F32" s="540">
        <f>B32</f>
        <v>0</v>
      </c>
      <c r="G32" s="144">
        <f>IF(Ventas!$A$9&lt;=2,Ventas!$F$9,0)</f>
        <v>0</v>
      </c>
      <c r="H32" s="748">
        <f>F32*G32*Ventas!$H$9</f>
        <v>0</v>
      </c>
      <c r="I32" s="148"/>
      <c r="J32" s="540">
        <f>F32</f>
        <v>0</v>
      </c>
      <c r="K32" s="144">
        <f>IF(Ventas!$A$9&lt;=3,Ventas!$J$9,0)</f>
        <v>0</v>
      </c>
      <c r="L32" s="748">
        <f>J32*K32*Ventas!$L$9</f>
        <v>0</v>
      </c>
      <c r="M32" s="148"/>
      <c r="N32" s="540">
        <f>J32</f>
        <v>0</v>
      </c>
      <c r="O32" s="144">
        <f>IF(Ventas!$A$9&lt;=4,Ventas!$N$9,0)</f>
        <v>0</v>
      </c>
      <c r="P32" s="748">
        <f>N32*O32*Ventas!$P$9</f>
        <v>0</v>
      </c>
      <c r="Q32" s="142"/>
      <c r="R32" s="540">
        <f>N32</f>
        <v>0</v>
      </c>
      <c r="S32" s="144">
        <f>Ventas!$R$9</f>
        <v>0</v>
      </c>
      <c r="T32" s="748">
        <f>R32*S32*Ventas!$T$9</f>
        <v>0</v>
      </c>
    </row>
    <row r="33" spans="1:20" ht="17.25" thickBot="1">
      <c r="A33" s="49" t="s">
        <v>203</v>
      </c>
      <c r="B33" s="751">
        <f>SUM(B25:B30)+SUM('G. Variables'!B31:B32)*Ventas!C23</f>
        <v>0</v>
      </c>
      <c r="C33" s="287"/>
      <c r="D33" s="749">
        <f>SUM(D25:D32)</f>
        <v>0</v>
      </c>
      <c r="E33" s="51"/>
      <c r="F33" s="286">
        <f>SUM(F25:F30)+SUM('G. Variables'!F31:F32)*Ventas!G23</f>
        <v>0</v>
      </c>
      <c r="G33" s="287"/>
      <c r="H33" s="749">
        <f>SUM(H25:H32)</f>
        <v>0</v>
      </c>
      <c r="I33" s="51"/>
      <c r="J33" s="286">
        <f>SUM(J25:J30)+SUM('G. Variables'!J31:J32)*Ventas!L23</f>
        <v>0</v>
      </c>
      <c r="K33" s="287"/>
      <c r="L33" s="749">
        <f>SUM(L25:L32)</f>
        <v>0</v>
      </c>
      <c r="M33" s="51"/>
      <c r="N33" s="286">
        <f>SUM(N25:N30)+SUM('G. Variables'!N31:N32)*Ventas!P23</f>
        <v>0</v>
      </c>
      <c r="O33" s="287"/>
      <c r="P33" s="749">
        <f>SUM(P25:P32)</f>
        <v>0</v>
      </c>
      <c r="Q33" s="50"/>
      <c r="R33" s="286">
        <f>SUM(R25:R30)+SUM('G. Variables'!R31:R32)*Ventas!T23</f>
        <v>0</v>
      </c>
      <c r="S33" s="287"/>
      <c r="T33" s="749">
        <f>SUM(T25:T32)</f>
        <v>0</v>
      </c>
    </row>
    <row r="34" spans="1:20" ht="33">
      <c r="A34" s="52">
        <f>Ventas!B11</f>
        <v>0</v>
      </c>
      <c r="B34" s="44" t="s">
        <v>209</v>
      </c>
      <c r="C34" s="263" t="s">
        <v>210</v>
      </c>
      <c r="D34" s="750" t="s">
        <v>211</v>
      </c>
      <c r="E34" s="44" t="s">
        <v>212</v>
      </c>
      <c r="F34" s="253" t="s">
        <v>209</v>
      </c>
      <c r="G34" s="263" t="s">
        <v>210</v>
      </c>
      <c r="H34" s="750" t="s">
        <v>211</v>
      </c>
      <c r="I34" s="44" t="s">
        <v>212</v>
      </c>
      <c r="J34" s="253" t="s">
        <v>209</v>
      </c>
      <c r="K34" s="263" t="s">
        <v>210</v>
      </c>
      <c r="L34" s="750" t="s">
        <v>211</v>
      </c>
      <c r="M34" s="44" t="s">
        <v>212</v>
      </c>
      <c r="N34" s="253" t="s">
        <v>209</v>
      </c>
      <c r="O34" s="263" t="s">
        <v>210</v>
      </c>
      <c r="P34" s="750" t="s">
        <v>211</v>
      </c>
      <c r="Q34" s="44" t="s">
        <v>212</v>
      </c>
      <c r="R34" s="253" t="s">
        <v>209</v>
      </c>
      <c r="S34" s="263" t="s">
        <v>210</v>
      </c>
      <c r="T34" s="750" t="s">
        <v>211</v>
      </c>
    </row>
    <row r="35" spans="1:20" s="150" customFormat="1" ht="15">
      <c r="A35" s="347" t="str">
        <f>A25</f>
        <v>Coste mercaderías</v>
      </c>
      <c r="B35" s="284"/>
      <c r="C35" s="144">
        <f>IF(Ventas!$A$11=1,Ventas!$C$11,0)</f>
        <v>0</v>
      </c>
      <c r="D35" s="748">
        <f t="shared" ref="D35:D40" si="38">B35*C35</f>
        <v>0</v>
      </c>
      <c r="E35" s="143"/>
      <c r="F35" s="285">
        <f t="shared" ref="F35:F40" si="39">B35*(1+E35)</f>
        <v>0</v>
      </c>
      <c r="G35" s="144">
        <f>IF(Ventas!$A$11&lt;=2,Ventas!$F$11,0)</f>
        <v>0</v>
      </c>
      <c r="H35" s="748">
        <f t="shared" ref="H35:H40" si="40">F35*G35</f>
        <v>0</v>
      </c>
      <c r="I35" s="349">
        <f t="shared" ref="I35:I40" si="41">E35</f>
        <v>0</v>
      </c>
      <c r="J35" s="258">
        <f t="shared" ref="J35:J40" si="42">F35*(1+I35)</f>
        <v>0</v>
      </c>
      <c r="K35" s="144">
        <f>IF(Ventas!$A$11&lt;=3,Ventas!$J$11,0)</f>
        <v>0</v>
      </c>
      <c r="L35" s="748">
        <f t="shared" ref="L35:L40" si="43">J35*K35</f>
        <v>0</v>
      </c>
      <c r="M35" s="349">
        <f t="shared" ref="M35:M40" si="44">I35</f>
        <v>0</v>
      </c>
      <c r="N35" s="258">
        <f t="shared" ref="N35:N40" si="45">J35*(1+M35)</f>
        <v>0</v>
      </c>
      <c r="O35" s="144">
        <f>IF(Ventas!$A$11&lt;=4,Ventas!$N$11,0)</f>
        <v>0</v>
      </c>
      <c r="P35" s="748">
        <f t="shared" ref="P35:P40" si="46">N35*O35</f>
        <v>0</v>
      </c>
      <c r="Q35" s="350">
        <f t="shared" ref="Q35:Q40" si="47">M35</f>
        <v>0</v>
      </c>
      <c r="R35" s="258">
        <f t="shared" ref="R35:R40" si="48">N35*(1+Q35)</f>
        <v>0</v>
      </c>
      <c r="S35" s="144">
        <f>Ventas!$R$11</f>
        <v>0</v>
      </c>
      <c r="T35" s="748">
        <f t="shared" ref="T35:T40" si="49">R35*S35</f>
        <v>0</v>
      </c>
    </row>
    <row r="36" spans="1:20" s="150" customFormat="1" ht="15">
      <c r="A36" s="347" t="str">
        <f t="shared" ref="A36:A42" si="50">A26</f>
        <v>Coste materias primas</v>
      </c>
      <c r="B36" s="284"/>
      <c r="C36" s="144">
        <f>IF(Ventas!$A$11=1,Ventas!$C$11,0)</f>
        <v>0</v>
      </c>
      <c r="D36" s="748">
        <f t="shared" si="38"/>
        <v>0</v>
      </c>
      <c r="E36" s="143"/>
      <c r="F36" s="285">
        <f t="shared" si="39"/>
        <v>0</v>
      </c>
      <c r="G36" s="144">
        <f>IF(Ventas!$A$11&lt;=2,Ventas!$F$11,0)</f>
        <v>0</v>
      </c>
      <c r="H36" s="748">
        <f t="shared" si="40"/>
        <v>0</v>
      </c>
      <c r="I36" s="349">
        <f t="shared" si="41"/>
        <v>0</v>
      </c>
      <c r="J36" s="258">
        <f t="shared" si="42"/>
        <v>0</v>
      </c>
      <c r="K36" s="144">
        <f>IF(Ventas!$A$11&lt;=3,Ventas!$J$11,0)</f>
        <v>0</v>
      </c>
      <c r="L36" s="748">
        <f t="shared" si="43"/>
        <v>0</v>
      </c>
      <c r="M36" s="349">
        <f t="shared" si="44"/>
        <v>0</v>
      </c>
      <c r="N36" s="258">
        <f t="shared" si="45"/>
        <v>0</v>
      </c>
      <c r="O36" s="144">
        <f>IF(Ventas!$A$11&lt;=4,Ventas!$N$11,0)</f>
        <v>0</v>
      </c>
      <c r="P36" s="748">
        <f t="shared" si="46"/>
        <v>0</v>
      </c>
      <c r="Q36" s="350">
        <f t="shared" si="47"/>
        <v>0</v>
      </c>
      <c r="R36" s="258">
        <f t="shared" si="48"/>
        <v>0</v>
      </c>
      <c r="S36" s="144">
        <f>Ventas!$R$11</f>
        <v>0</v>
      </c>
      <c r="T36" s="748">
        <f t="shared" si="49"/>
        <v>0</v>
      </c>
    </row>
    <row r="37" spans="1:20" s="150" customFormat="1" ht="15">
      <c r="A37" s="347" t="str">
        <f t="shared" si="50"/>
        <v>Subcontratación</v>
      </c>
      <c r="B37" s="284"/>
      <c r="C37" s="144">
        <f>IF(Ventas!$A$11=1,Ventas!$C$11,0)</f>
        <v>0</v>
      </c>
      <c r="D37" s="748">
        <f t="shared" si="38"/>
        <v>0</v>
      </c>
      <c r="E37" s="143"/>
      <c r="F37" s="285">
        <f t="shared" si="39"/>
        <v>0</v>
      </c>
      <c r="G37" s="144">
        <f>IF(Ventas!$A$11&lt;=2,Ventas!$F$11,0)</f>
        <v>0</v>
      </c>
      <c r="H37" s="748">
        <f t="shared" si="40"/>
        <v>0</v>
      </c>
      <c r="I37" s="349">
        <f t="shared" si="41"/>
        <v>0</v>
      </c>
      <c r="J37" s="258">
        <f t="shared" si="42"/>
        <v>0</v>
      </c>
      <c r="K37" s="144">
        <f>IF(Ventas!$A$11&lt;=3,Ventas!$J$11,0)</f>
        <v>0</v>
      </c>
      <c r="L37" s="748">
        <f t="shared" si="43"/>
        <v>0</v>
      </c>
      <c r="M37" s="349">
        <f t="shared" si="44"/>
        <v>0</v>
      </c>
      <c r="N37" s="258">
        <f t="shared" si="45"/>
        <v>0</v>
      </c>
      <c r="O37" s="144">
        <f>IF(Ventas!$A$11&lt;=4,Ventas!$N$11,0)</f>
        <v>0</v>
      </c>
      <c r="P37" s="748">
        <f t="shared" si="46"/>
        <v>0</v>
      </c>
      <c r="Q37" s="350">
        <f t="shared" si="47"/>
        <v>0</v>
      </c>
      <c r="R37" s="258">
        <f t="shared" si="48"/>
        <v>0</v>
      </c>
      <c r="S37" s="144">
        <f>Ventas!$R$11</f>
        <v>0</v>
      </c>
      <c r="T37" s="748">
        <f t="shared" si="49"/>
        <v>0</v>
      </c>
    </row>
    <row r="38" spans="1:20" s="146" customFormat="1" ht="15">
      <c r="A38" s="347" t="str">
        <f t="shared" si="50"/>
        <v>Envase y embalaje</v>
      </c>
      <c r="B38" s="284"/>
      <c r="C38" s="144">
        <f>IF(Ventas!$A$11=1,Ventas!$C$11,0)</f>
        <v>0</v>
      </c>
      <c r="D38" s="748">
        <f t="shared" si="38"/>
        <v>0</v>
      </c>
      <c r="E38" s="143"/>
      <c r="F38" s="285">
        <f t="shared" si="39"/>
        <v>0</v>
      </c>
      <c r="G38" s="144">
        <f>IF(Ventas!$A$11&lt;=2,Ventas!$F$11,0)</f>
        <v>0</v>
      </c>
      <c r="H38" s="748">
        <f t="shared" si="40"/>
        <v>0</v>
      </c>
      <c r="I38" s="349">
        <f t="shared" si="41"/>
        <v>0</v>
      </c>
      <c r="J38" s="258">
        <f t="shared" si="42"/>
        <v>0</v>
      </c>
      <c r="K38" s="144">
        <f>IF(Ventas!$A$11&lt;=3,Ventas!$J$11,0)</f>
        <v>0</v>
      </c>
      <c r="L38" s="748">
        <f t="shared" si="43"/>
        <v>0</v>
      </c>
      <c r="M38" s="349">
        <f t="shared" si="44"/>
        <v>0</v>
      </c>
      <c r="N38" s="258">
        <f t="shared" si="45"/>
        <v>0</v>
      </c>
      <c r="O38" s="144">
        <f>IF(Ventas!$A$11&lt;=4,Ventas!$N$11,0)</f>
        <v>0</v>
      </c>
      <c r="P38" s="748">
        <f t="shared" si="46"/>
        <v>0</v>
      </c>
      <c r="Q38" s="350">
        <f t="shared" si="47"/>
        <v>0</v>
      </c>
      <c r="R38" s="258">
        <f t="shared" si="48"/>
        <v>0</v>
      </c>
      <c r="S38" s="144">
        <f>Ventas!$R$11</f>
        <v>0</v>
      </c>
      <c r="T38" s="748">
        <f t="shared" si="49"/>
        <v>0</v>
      </c>
    </row>
    <row r="39" spans="1:20" s="146" customFormat="1" ht="15">
      <c r="A39" s="347" t="str">
        <f t="shared" si="50"/>
        <v>Transporte</v>
      </c>
      <c r="B39" s="284"/>
      <c r="C39" s="144">
        <f>IF(Ventas!$A$11=1,Ventas!$C$11,0)</f>
        <v>0</v>
      </c>
      <c r="D39" s="748">
        <f t="shared" si="38"/>
        <v>0</v>
      </c>
      <c r="E39" s="143"/>
      <c r="F39" s="285">
        <f t="shared" si="39"/>
        <v>0</v>
      </c>
      <c r="G39" s="144">
        <f>IF(Ventas!$A$11&lt;=2,Ventas!$F$11,0)</f>
        <v>0</v>
      </c>
      <c r="H39" s="748">
        <f t="shared" si="40"/>
        <v>0</v>
      </c>
      <c r="I39" s="349">
        <f t="shared" si="41"/>
        <v>0</v>
      </c>
      <c r="J39" s="258">
        <f t="shared" si="42"/>
        <v>0</v>
      </c>
      <c r="K39" s="144">
        <f>IF(Ventas!$A$11&lt;=3,Ventas!$J$11,0)</f>
        <v>0</v>
      </c>
      <c r="L39" s="748">
        <f t="shared" si="43"/>
        <v>0</v>
      </c>
      <c r="M39" s="349">
        <f t="shared" si="44"/>
        <v>0</v>
      </c>
      <c r="N39" s="258">
        <f t="shared" si="45"/>
        <v>0</v>
      </c>
      <c r="O39" s="144">
        <f>IF(Ventas!$A$11&lt;=4,Ventas!$N$11,0)</f>
        <v>0</v>
      </c>
      <c r="P39" s="748">
        <f t="shared" si="46"/>
        <v>0</v>
      </c>
      <c r="Q39" s="350">
        <f t="shared" si="47"/>
        <v>0</v>
      </c>
      <c r="R39" s="258">
        <f t="shared" si="48"/>
        <v>0</v>
      </c>
      <c r="S39" s="144">
        <f>Ventas!$R$11</f>
        <v>0</v>
      </c>
      <c r="T39" s="748">
        <f t="shared" si="49"/>
        <v>0</v>
      </c>
    </row>
    <row r="40" spans="1:20" s="146" customFormat="1" ht="15">
      <c r="A40" s="347" t="str">
        <f t="shared" si="50"/>
        <v>Otros costes variables</v>
      </c>
      <c r="B40" s="284"/>
      <c r="C40" s="144">
        <f>IF(Ventas!$A$11=1,Ventas!$C$11,0)</f>
        <v>0</v>
      </c>
      <c r="D40" s="748">
        <f t="shared" si="38"/>
        <v>0</v>
      </c>
      <c r="E40" s="143"/>
      <c r="F40" s="285">
        <f t="shared" si="39"/>
        <v>0</v>
      </c>
      <c r="G40" s="144">
        <f>IF(Ventas!$A$11&lt;=2,Ventas!$F$11,0)</f>
        <v>0</v>
      </c>
      <c r="H40" s="748">
        <f t="shared" si="40"/>
        <v>0</v>
      </c>
      <c r="I40" s="349">
        <f t="shared" si="41"/>
        <v>0</v>
      </c>
      <c r="J40" s="258">
        <f t="shared" si="42"/>
        <v>0</v>
      </c>
      <c r="K40" s="144">
        <f>IF(Ventas!$A$11&lt;=3,Ventas!$J$11,0)</f>
        <v>0</v>
      </c>
      <c r="L40" s="748">
        <f t="shared" si="43"/>
        <v>0</v>
      </c>
      <c r="M40" s="349">
        <f t="shared" si="44"/>
        <v>0</v>
      </c>
      <c r="N40" s="258">
        <f t="shared" si="45"/>
        <v>0</v>
      </c>
      <c r="O40" s="144">
        <f>IF(Ventas!$A$11&lt;=4,Ventas!$N$11,0)</f>
        <v>0</v>
      </c>
      <c r="P40" s="748">
        <f t="shared" si="46"/>
        <v>0</v>
      </c>
      <c r="Q40" s="350">
        <f t="shared" si="47"/>
        <v>0</v>
      </c>
      <c r="R40" s="258">
        <f t="shared" si="48"/>
        <v>0</v>
      </c>
      <c r="S40" s="144">
        <f>Ventas!$R$11</f>
        <v>0</v>
      </c>
      <c r="T40" s="748">
        <f t="shared" si="49"/>
        <v>0</v>
      </c>
    </row>
    <row r="41" spans="1:20" s="146" customFormat="1" ht="15">
      <c r="A41" s="358" t="str">
        <f t="shared" si="50"/>
        <v>Comisiones % 1</v>
      </c>
      <c r="B41" s="273"/>
      <c r="C41" s="144">
        <f>IF(Ventas!$A$11=1,Ventas!$C$11,0)</f>
        <v>0</v>
      </c>
      <c r="D41" s="748">
        <f>B41*C41*Ventas!$D$11</f>
        <v>0</v>
      </c>
      <c r="E41" s="147"/>
      <c r="F41" s="540">
        <f>B41</f>
        <v>0</v>
      </c>
      <c r="G41" s="144">
        <f>IF(Ventas!$A$11&lt;=2,Ventas!$F$11,0)</f>
        <v>0</v>
      </c>
      <c r="H41" s="748">
        <f>F41*G41*Ventas!$H$11</f>
        <v>0</v>
      </c>
      <c r="I41" s="148"/>
      <c r="J41" s="540">
        <f>F41</f>
        <v>0</v>
      </c>
      <c r="K41" s="144">
        <f>IF(Ventas!$A$11&lt;=3,Ventas!$J$11,0)</f>
        <v>0</v>
      </c>
      <c r="L41" s="748">
        <f>J41*K41*Ventas!$L$11</f>
        <v>0</v>
      </c>
      <c r="M41" s="148"/>
      <c r="N41" s="540">
        <f>J41</f>
        <v>0</v>
      </c>
      <c r="O41" s="144">
        <f>IF(Ventas!$A$11&lt;=4,Ventas!$N$11,0)</f>
        <v>0</v>
      </c>
      <c r="P41" s="748">
        <f>N41*O41*Ventas!$P$11</f>
        <v>0</v>
      </c>
      <c r="Q41" s="142"/>
      <c r="R41" s="540">
        <f>N41</f>
        <v>0</v>
      </c>
      <c r="S41" s="144">
        <f>Ventas!$R$11</f>
        <v>0</v>
      </c>
      <c r="T41" s="748">
        <f>R41*S41*Ventas!$T$11</f>
        <v>0</v>
      </c>
    </row>
    <row r="42" spans="1:20" s="146" customFormat="1" ht="15">
      <c r="A42" s="358" t="str">
        <f t="shared" si="50"/>
        <v>Comisiones % 2</v>
      </c>
      <c r="B42" s="273"/>
      <c r="C42" s="144">
        <f>IF(Ventas!$A$11=1,Ventas!$C$11,0)</f>
        <v>0</v>
      </c>
      <c r="D42" s="748">
        <f>B42*C42*Ventas!$D$11</f>
        <v>0</v>
      </c>
      <c r="E42" s="147"/>
      <c r="F42" s="540">
        <f>B42</f>
        <v>0</v>
      </c>
      <c r="G42" s="144">
        <f>IF(Ventas!$A$11&lt;=2,Ventas!$F$11,0)</f>
        <v>0</v>
      </c>
      <c r="H42" s="748">
        <f>F42*G42*Ventas!$H$11</f>
        <v>0</v>
      </c>
      <c r="I42" s="148"/>
      <c r="J42" s="540">
        <f>F42</f>
        <v>0</v>
      </c>
      <c r="K42" s="144">
        <f>IF(Ventas!$A$11&lt;=3,Ventas!$J$11,0)</f>
        <v>0</v>
      </c>
      <c r="L42" s="748">
        <f>J42*K42*Ventas!$L$11</f>
        <v>0</v>
      </c>
      <c r="M42" s="148"/>
      <c r="N42" s="540">
        <f>J42</f>
        <v>0</v>
      </c>
      <c r="O42" s="144">
        <f>IF(Ventas!$A$11&lt;=4,Ventas!$N$11,0)</f>
        <v>0</v>
      </c>
      <c r="P42" s="748">
        <f>N42*O42*Ventas!$P$11</f>
        <v>0</v>
      </c>
      <c r="Q42" s="142"/>
      <c r="R42" s="540">
        <f>N42</f>
        <v>0</v>
      </c>
      <c r="S42" s="144">
        <f>Ventas!$R$11</f>
        <v>0</v>
      </c>
      <c r="T42" s="748">
        <f>R42*S42*Ventas!$T$11</f>
        <v>0</v>
      </c>
    </row>
    <row r="43" spans="1:20" ht="17.25" thickBot="1">
      <c r="A43" s="49" t="s">
        <v>203</v>
      </c>
      <c r="B43" s="751">
        <f>SUM(B35:B40)+SUM('G. Variables'!B41:B42)*Ventas!D32</f>
        <v>0</v>
      </c>
      <c r="C43" s="287"/>
      <c r="D43" s="749">
        <f>SUM(D35:D42)</f>
        <v>0</v>
      </c>
      <c r="E43" s="51"/>
      <c r="F43" s="286">
        <f>SUM(F35:F40)+SUM('G. Variables'!F41:F42)*Ventas!H32</f>
        <v>0</v>
      </c>
      <c r="G43" s="287"/>
      <c r="H43" s="749">
        <f>SUM(H35:H42)</f>
        <v>0</v>
      </c>
      <c r="I43" s="51"/>
      <c r="J43" s="286">
        <f>SUM(J35:J40)+SUM('G. Variables'!J41:J42)*Ventas!L32</f>
        <v>0</v>
      </c>
      <c r="K43" s="287"/>
      <c r="L43" s="749">
        <f>SUM(L35:L42)</f>
        <v>0</v>
      </c>
      <c r="M43" s="51"/>
      <c r="N43" s="286">
        <f>SUM(N35:N40)+SUM('G. Variables'!N41:N42)*Ventas!P32</f>
        <v>0</v>
      </c>
      <c r="O43" s="287"/>
      <c r="P43" s="749">
        <f>SUM(P35:P42)</f>
        <v>0</v>
      </c>
      <c r="Q43" s="50"/>
      <c r="R43" s="286">
        <f>SUM(R35:R40)+SUM('G. Variables'!R41:R42)*Ventas!T32</f>
        <v>0</v>
      </c>
      <c r="S43" s="287"/>
      <c r="T43" s="749">
        <f>SUM(T35:T42)</f>
        <v>0</v>
      </c>
    </row>
    <row r="44" spans="1:20" ht="33">
      <c r="A44" s="53">
        <f>Ventas!B13</f>
        <v>0</v>
      </c>
      <c r="B44" s="44" t="s">
        <v>209</v>
      </c>
      <c r="C44" s="263" t="s">
        <v>210</v>
      </c>
      <c r="D44" s="750" t="s">
        <v>211</v>
      </c>
      <c r="E44" s="44" t="s">
        <v>212</v>
      </c>
      <c r="F44" s="253" t="s">
        <v>209</v>
      </c>
      <c r="G44" s="263" t="s">
        <v>210</v>
      </c>
      <c r="H44" s="750" t="s">
        <v>211</v>
      </c>
      <c r="I44" s="44" t="s">
        <v>212</v>
      </c>
      <c r="J44" s="253" t="s">
        <v>209</v>
      </c>
      <c r="K44" s="263" t="s">
        <v>210</v>
      </c>
      <c r="L44" s="750" t="s">
        <v>211</v>
      </c>
      <c r="M44" s="44" t="s">
        <v>212</v>
      </c>
      <c r="N44" s="253" t="s">
        <v>209</v>
      </c>
      <c r="O44" s="263" t="s">
        <v>210</v>
      </c>
      <c r="P44" s="750" t="s">
        <v>211</v>
      </c>
      <c r="Q44" s="44" t="s">
        <v>212</v>
      </c>
      <c r="R44" s="253" t="s">
        <v>209</v>
      </c>
      <c r="S44" s="263" t="s">
        <v>210</v>
      </c>
      <c r="T44" s="750" t="s">
        <v>211</v>
      </c>
    </row>
    <row r="45" spans="1:20" s="150" customFormat="1" ht="15">
      <c r="A45" s="347" t="str">
        <f>A35</f>
        <v>Coste mercaderías</v>
      </c>
      <c r="B45" s="284"/>
      <c r="C45" s="144">
        <f>IF(Ventas!$A$13=1,Ventas!$C$13,0)</f>
        <v>0</v>
      </c>
      <c r="D45" s="748">
        <f t="shared" ref="D45:D50" si="51">B45*C45</f>
        <v>0</v>
      </c>
      <c r="E45" s="143"/>
      <c r="F45" s="285">
        <f t="shared" ref="F45:F50" si="52">B45*(1+E45)</f>
        <v>0</v>
      </c>
      <c r="G45" s="144">
        <f>IF(Ventas!$A$13&lt;=2,Ventas!$F$13,0)</f>
        <v>0</v>
      </c>
      <c r="H45" s="748">
        <f t="shared" ref="H45:H50" si="53">F45*G45</f>
        <v>0</v>
      </c>
      <c r="I45" s="349">
        <f t="shared" ref="I45:I50" si="54">E45</f>
        <v>0</v>
      </c>
      <c r="J45" s="258">
        <f t="shared" ref="J45:J50" si="55">F45*(1+I45)</f>
        <v>0</v>
      </c>
      <c r="K45" s="144">
        <f>IF(Ventas!$A$13&lt;=3,Ventas!$J$13,0)</f>
        <v>0</v>
      </c>
      <c r="L45" s="748">
        <f t="shared" ref="L45:L50" si="56">J45*K45</f>
        <v>0</v>
      </c>
      <c r="M45" s="349">
        <f t="shared" ref="M45:M50" si="57">I45</f>
        <v>0</v>
      </c>
      <c r="N45" s="258">
        <f t="shared" ref="N45:N50" si="58">J45*(1+M45)</f>
        <v>0</v>
      </c>
      <c r="O45" s="144">
        <f>IF(Ventas!$A$13&lt;=4,Ventas!$N$13,0)</f>
        <v>0</v>
      </c>
      <c r="P45" s="748">
        <f t="shared" ref="P45:P50" si="59">N45*O45</f>
        <v>0</v>
      </c>
      <c r="Q45" s="350">
        <f t="shared" ref="Q45:Q50" si="60">M45</f>
        <v>0</v>
      </c>
      <c r="R45" s="258">
        <f t="shared" ref="R45:R50" si="61">N45*(1+Q45)</f>
        <v>0</v>
      </c>
      <c r="S45" s="144">
        <f>Ventas!$R$13</f>
        <v>0</v>
      </c>
      <c r="T45" s="748">
        <f t="shared" ref="T45:T50" si="62">R45*S45</f>
        <v>0</v>
      </c>
    </row>
    <row r="46" spans="1:20" s="150" customFormat="1" ht="15">
      <c r="A46" s="347" t="str">
        <f t="shared" ref="A46:A52" si="63">A36</f>
        <v>Coste materias primas</v>
      </c>
      <c r="B46" s="284"/>
      <c r="C46" s="144">
        <f>IF(Ventas!$A$13=1,Ventas!$C$13,0)</f>
        <v>0</v>
      </c>
      <c r="D46" s="748">
        <f t="shared" si="51"/>
        <v>0</v>
      </c>
      <c r="E46" s="143"/>
      <c r="F46" s="285">
        <f t="shared" si="52"/>
        <v>0</v>
      </c>
      <c r="G46" s="144">
        <f>Ventas!$F$13</f>
        <v>0</v>
      </c>
      <c r="H46" s="748">
        <f t="shared" si="53"/>
        <v>0</v>
      </c>
      <c r="I46" s="349">
        <f t="shared" si="54"/>
        <v>0</v>
      </c>
      <c r="J46" s="258">
        <f t="shared" si="55"/>
        <v>0</v>
      </c>
      <c r="K46" s="144">
        <f>IF(Ventas!$A$13&lt;=3,Ventas!$J$13,0)</f>
        <v>0</v>
      </c>
      <c r="L46" s="748">
        <f t="shared" si="56"/>
        <v>0</v>
      </c>
      <c r="M46" s="349">
        <f t="shared" si="57"/>
        <v>0</v>
      </c>
      <c r="N46" s="258">
        <f t="shared" si="58"/>
        <v>0</v>
      </c>
      <c r="O46" s="144">
        <f>IF(Ventas!$A$13&lt;=4,Ventas!$N$13,0)</f>
        <v>0</v>
      </c>
      <c r="P46" s="748">
        <f t="shared" si="59"/>
        <v>0</v>
      </c>
      <c r="Q46" s="350">
        <f t="shared" si="60"/>
        <v>0</v>
      </c>
      <c r="R46" s="258">
        <f t="shared" si="61"/>
        <v>0</v>
      </c>
      <c r="S46" s="144">
        <f>Ventas!$R$13</f>
        <v>0</v>
      </c>
      <c r="T46" s="748">
        <f t="shared" si="62"/>
        <v>0</v>
      </c>
    </row>
    <row r="47" spans="1:20" s="146" customFormat="1" ht="15">
      <c r="A47" s="347" t="str">
        <f t="shared" si="63"/>
        <v>Subcontratación</v>
      </c>
      <c r="B47" s="284"/>
      <c r="C47" s="144">
        <f>IF(Ventas!$A$13=1,Ventas!$C$13,0)</f>
        <v>0</v>
      </c>
      <c r="D47" s="748">
        <f t="shared" si="51"/>
        <v>0</v>
      </c>
      <c r="E47" s="143"/>
      <c r="F47" s="285">
        <f t="shared" si="52"/>
        <v>0</v>
      </c>
      <c r="G47" s="144">
        <f>Ventas!$F$13</f>
        <v>0</v>
      </c>
      <c r="H47" s="748">
        <f t="shared" si="53"/>
        <v>0</v>
      </c>
      <c r="I47" s="349">
        <f t="shared" si="54"/>
        <v>0</v>
      </c>
      <c r="J47" s="258">
        <f t="shared" si="55"/>
        <v>0</v>
      </c>
      <c r="K47" s="144">
        <f>IF(Ventas!$A$13&lt;=3,Ventas!$J$13,0)</f>
        <v>0</v>
      </c>
      <c r="L47" s="748">
        <f t="shared" si="56"/>
        <v>0</v>
      </c>
      <c r="M47" s="349">
        <f t="shared" si="57"/>
        <v>0</v>
      </c>
      <c r="N47" s="258">
        <f t="shared" si="58"/>
        <v>0</v>
      </c>
      <c r="O47" s="144">
        <f>IF(Ventas!$A$13&lt;=4,Ventas!$N$13,0)</f>
        <v>0</v>
      </c>
      <c r="P47" s="748">
        <f t="shared" si="59"/>
        <v>0</v>
      </c>
      <c r="Q47" s="350">
        <f t="shared" si="60"/>
        <v>0</v>
      </c>
      <c r="R47" s="258">
        <f t="shared" si="61"/>
        <v>0</v>
      </c>
      <c r="S47" s="144">
        <f>Ventas!$R$13</f>
        <v>0</v>
      </c>
      <c r="T47" s="748">
        <f t="shared" si="62"/>
        <v>0</v>
      </c>
    </row>
    <row r="48" spans="1:20" s="150" customFormat="1" ht="15">
      <c r="A48" s="347" t="str">
        <f t="shared" si="63"/>
        <v>Envase y embalaje</v>
      </c>
      <c r="B48" s="284"/>
      <c r="C48" s="144">
        <f>IF(Ventas!$A$13=1,Ventas!$C$13,0)</f>
        <v>0</v>
      </c>
      <c r="D48" s="748">
        <f t="shared" si="51"/>
        <v>0</v>
      </c>
      <c r="E48" s="143"/>
      <c r="F48" s="285">
        <f t="shared" si="52"/>
        <v>0</v>
      </c>
      <c r="G48" s="144">
        <f>Ventas!$F$13</f>
        <v>0</v>
      </c>
      <c r="H48" s="748">
        <f t="shared" si="53"/>
        <v>0</v>
      </c>
      <c r="I48" s="349">
        <f t="shared" si="54"/>
        <v>0</v>
      </c>
      <c r="J48" s="258">
        <f t="shared" si="55"/>
        <v>0</v>
      </c>
      <c r="K48" s="144">
        <f>IF(Ventas!$A$13&lt;=3,Ventas!$J$13,0)</f>
        <v>0</v>
      </c>
      <c r="L48" s="748">
        <f t="shared" si="56"/>
        <v>0</v>
      </c>
      <c r="M48" s="349">
        <f t="shared" si="57"/>
        <v>0</v>
      </c>
      <c r="N48" s="258">
        <f t="shared" si="58"/>
        <v>0</v>
      </c>
      <c r="O48" s="144">
        <f>IF(Ventas!$A$13&lt;=4,Ventas!$N$13,0)</f>
        <v>0</v>
      </c>
      <c r="P48" s="748">
        <f t="shared" si="59"/>
        <v>0</v>
      </c>
      <c r="Q48" s="350">
        <f t="shared" si="60"/>
        <v>0</v>
      </c>
      <c r="R48" s="258">
        <f t="shared" si="61"/>
        <v>0</v>
      </c>
      <c r="S48" s="144">
        <f>Ventas!$R$13</f>
        <v>0</v>
      </c>
      <c r="T48" s="748">
        <f t="shared" si="62"/>
        <v>0</v>
      </c>
    </row>
    <row r="49" spans="1:20" s="150" customFormat="1" ht="15">
      <c r="A49" s="347" t="str">
        <f t="shared" si="63"/>
        <v>Transporte</v>
      </c>
      <c r="B49" s="284"/>
      <c r="C49" s="144">
        <f>IF(Ventas!$A$13=1,Ventas!$C$13,0)</f>
        <v>0</v>
      </c>
      <c r="D49" s="748">
        <f t="shared" si="51"/>
        <v>0</v>
      </c>
      <c r="E49" s="143"/>
      <c r="F49" s="285">
        <f t="shared" si="52"/>
        <v>0</v>
      </c>
      <c r="G49" s="144">
        <f>Ventas!$F$13</f>
        <v>0</v>
      </c>
      <c r="H49" s="748">
        <f t="shared" si="53"/>
        <v>0</v>
      </c>
      <c r="I49" s="349">
        <f t="shared" si="54"/>
        <v>0</v>
      </c>
      <c r="J49" s="258">
        <f t="shared" si="55"/>
        <v>0</v>
      </c>
      <c r="K49" s="144">
        <f>IF(Ventas!$A$13&lt;=3,Ventas!$J$13,0)</f>
        <v>0</v>
      </c>
      <c r="L49" s="748">
        <f t="shared" si="56"/>
        <v>0</v>
      </c>
      <c r="M49" s="349">
        <f t="shared" si="57"/>
        <v>0</v>
      </c>
      <c r="N49" s="258">
        <f t="shared" si="58"/>
        <v>0</v>
      </c>
      <c r="O49" s="144">
        <f>IF(Ventas!$A$13&lt;=4,Ventas!$N$13,0)</f>
        <v>0</v>
      </c>
      <c r="P49" s="748">
        <f t="shared" si="59"/>
        <v>0</v>
      </c>
      <c r="Q49" s="350">
        <f t="shared" si="60"/>
        <v>0</v>
      </c>
      <c r="R49" s="258">
        <f t="shared" si="61"/>
        <v>0</v>
      </c>
      <c r="S49" s="144">
        <f>Ventas!$R$13</f>
        <v>0</v>
      </c>
      <c r="T49" s="748">
        <f t="shared" si="62"/>
        <v>0</v>
      </c>
    </row>
    <row r="50" spans="1:20" s="150" customFormat="1" ht="15">
      <c r="A50" s="347" t="str">
        <f t="shared" si="63"/>
        <v>Otros costes variables</v>
      </c>
      <c r="B50" s="284"/>
      <c r="C50" s="144">
        <f>IF(Ventas!$A$13=1,Ventas!$C$13,0)</f>
        <v>0</v>
      </c>
      <c r="D50" s="748">
        <f t="shared" si="51"/>
        <v>0</v>
      </c>
      <c r="E50" s="143"/>
      <c r="F50" s="285">
        <f t="shared" si="52"/>
        <v>0</v>
      </c>
      <c r="G50" s="144">
        <f>Ventas!$F$13</f>
        <v>0</v>
      </c>
      <c r="H50" s="748">
        <f t="shared" si="53"/>
        <v>0</v>
      </c>
      <c r="I50" s="349">
        <f t="shared" si="54"/>
        <v>0</v>
      </c>
      <c r="J50" s="258">
        <f t="shared" si="55"/>
        <v>0</v>
      </c>
      <c r="K50" s="144">
        <f>IF(Ventas!$A$13&lt;=3,Ventas!$J$13,0)</f>
        <v>0</v>
      </c>
      <c r="L50" s="748">
        <f t="shared" si="56"/>
        <v>0</v>
      </c>
      <c r="M50" s="349">
        <f t="shared" si="57"/>
        <v>0</v>
      </c>
      <c r="N50" s="258">
        <f t="shared" si="58"/>
        <v>0</v>
      </c>
      <c r="O50" s="144">
        <f>IF(Ventas!$A$13&lt;=4,Ventas!$N$13,0)</f>
        <v>0</v>
      </c>
      <c r="P50" s="748">
        <f t="shared" si="59"/>
        <v>0</v>
      </c>
      <c r="Q50" s="350">
        <f t="shared" si="60"/>
        <v>0</v>
      </c>
      <c r="R50" s="258">
        <f t="shared" si="61"/>
        <v>0</v>
      </c>
      <c r="S50" s="144">
        <f>Ventas!$R$13</f>
        <v>0</v>
      </c>
      <c r="T50" s="748">
        <f t="shared" si="62"/>
        <v>0</v>
      </c>
    </row>
    <row r="51" spans="1:20" s="146" customFormat="1" ht="15">
      <c r="A51" s="358" t="str">
        <f t="shared" si="63"/>
        <v>Comisiones % 1</v>
      </c>
      <c r="B51" s="273"/>
      <c r="C51" s="144">
        <f>IF(Ventas!$A$13=1,Ventas!$C$13,0)</f>
        <v>0</v>
      </c>
      <c r="D51" s="748">
        <f>B51*C51*Ventas!$D$13</f>
        <v>0</v>
      </c>
      <c r="E51" s="147"/>
      <c r="F51" s="540">
        <f>B51</f>
        <v>0</v>
      </c>
      <c r="G51" s="144">
        <f>Ventas!$F$13</f>
        <v>0</v>
      </c>
      <c r="H51" s="748">
        <f>F51*G51*Ventas!$H$13</f>
        <v>0</v>
      </c>
      <c r="I51" s="148"/>
      <c r="J51" s="540">
        <f>F51</f>
        <v>0</v>
      </c>
      <c r="K51" s="144">
        <f>IF(Ventas!$A$13&lt;=3,Ventas!$J$13,0)</f>
        <v>0</v>
      </c>
      <c r="L51" s="748">
        <f>J51*K51*Ventas!$L$13</f>
        <v>0</v>
      </c>
      <c r="M51" s="148"/>
      <c r="N51" s="540">
        <f>J51</f>
        <v>0</v>
      </c>
      <c r="O51" s="144">
        <f>IF(Ventas!$A$13&lt;=4,Ventas!$N$13,0)</f>
        <v>0</v>
      </c>
      <c r="P51" s="748">
        <f>N51*O51*Ventas!$P$13</f>
        <v>0</v>
      </c>
      <c r="Q51" s="142"/>
      <c r="R51" s="540">
        <f>N51</f>
        <v>0</v>
      </c>
      <c r="S51" s="144">
        <f>Ventas!$R$13</f>
        <v>0</v>
      </c>
      <c r="T51" s="748">
        <f>R51*S51*Ventas!$T$13</f>
        <v>0</v>
      </c>
    </row>
    <row r="52" spans="1:20" s="146" customFormat="1" ht="15">
      <c r="A52" s="358" t="str">
        <f t="shared" si="63"/>
        <v>Comisiones % 2</v>
      </c>
      <c r="B52" s="273"/>
      <c r="C52" s="144">
        <f>IF(Ventas!$A$13=1,Ventas!$C$13,0)</f>
        <v>0</v>
      </c>
      <c r="D52" s="748">
        <f>B52*C52*Ventas!$D$13</f>
        <v>0</v>
      </c>
      <c r="E52" s="147"/>
      <c r="F52" s="540">
        <f>B52</f>
        <v>0</v>
      </c>
      <c r="G52" s="144">
        <f>Ventas!$F$13</f>
        <v>0</v>
      </c>
      <c r="H52" s="748">
        <f>F52*G52*Ventas!$H$13</f>
        <v>0</v>
      </c>
      <c r="I52" s="148"/>
      <c r="J52" s="540">
        <f>F52</f>
        <v>0</v>
      </c>
      <c r="K52" s="144">
        <f>IF(Ventas!$A$13&lt;=3,Ventas!$J$13,0)</f>
        <v>0</v>
      </c>
      <c r="L52" s="748">
        <f>J52*K52*Ventas!$L$13</f>
        <v>0</v>
      </c>
      <c r="M52" s="148"/>
      <c r="N52" s="540">
        <f>J52</f>
        <v>0</v>
      </c>
      <c r="O52" s="144">
        <f>IF(Ventas!$A$13&lt;=4,Ventas!$N$13,0)</f>
        <v>0</v>
      </c>
      <c r="P52" s="748">
        <f>N52*O52*Ventas!$P$13</f>
        <v>0</v>
      </c>
      <c r="Q52" s="142"/>
      <c r="R52" s="540">
        <f>N52</f>
        <v>0</v>
      </c>
      <c r="S52" s="144">
        <f>Ventas!$R$13</f>
        <v>0</v>
      </c>
      <c r="T52" s="748">
        <f>R52*S52*Ventas!$T$13</f>
        <v>0</v>
      </c>
    </row>
    <row r="53" spans="1:20" ht="17.25" thickBot="1">
      <c r="A53" s="49" t="s">
        <v>203</v>
      </c>
      <c r="B53" s="751">
        <f>SUM(B45:B50)+SUM('G. Variables'!B51:B52)*Ventas!D41</f>
        <v>0</v>
      </c>
      <c r="C53" s="287"/>
      <c r="D53" s="749">
        <f>SUM(D45:D52)</f>
        <v>0</v>
      </c>
      <c r="E53" s="51"/>
      <c r="F53" s="286">
        <f>SUM(F45:F50)+SUM('G. Variables'!F51:F52)*Ventas!H41</f>
        <v>0</v>
      </c>
      <c r="G53" s="287"/>
      <c r="H53" s="749">
        <f>SUM(H45:H52)</f>
        <v>0</v>
      </c>
      <c r="I53" s="51"/>
      <c r="J53" s="286">
        <f>SUM(J45:J50)+SUM('G. Variables'!J51:J52)*Ventas!L41</f>
        <v>0</v>
      </c>
      <c r="K53" s="287"/>
      <c r="L53" s="749">
        <f>SUM(L45:L52)</f>
        <v>0</v>
      </c>
      <c r="M53" s="51"/>
      <c r="N53" s="286">
        <f>SUM(N45:N50)+SUM('G. Variables'!N51:N52)*Ventas!P41</f>
        <v>0</v>
      </c>
      <c r="O53" s="287"/>
      <c r="P53" s="749">
        <f>SUM(P45:P52)</f>
        <v>0</v>
      </c>
      <c r="Q53" s="50"/>
      <c r="R53" s="286">
        <f>SUM(R45:R50)+SUM('G. Variables'!R51:R52)*Ventas!T41</f>
        <v>0</v>
      </c>
      <c r="S53" s="287"/>
      <c r="T53" s="749">
        <f>SUM(T45:T52)</f>
        <v>0</v>
      </c>
    </row>
    <row r="54" spans="1:20" s="54" customFormat="1" ht="34.5" customHeight="1" thickBot="1">
      <c r="A54" s="1001" t="s">
        <v>204</v>
      </c>
      <c r="B54" s="1002"/>
      <c r="C54" s="1003"/>
      <c r="D54" s="490" t="s">
        <v>60</v>
      </c>
      <c r="E54" s="490" t="s">
        <v>61</v>
      </c>
      <c r="F54" s="490" t="s">
        <v>62</v>
      </c>
      <c r="G54" s="490" t="s">
        <v>176</v>
      </c>
      <c r="H54" s="491" t="s">
        <v>177</v>
      </c>
      <c r="J54" s="259"/>
      <c r="N54" s="259"/>
      <c r="O54" s="55"/>
      <c r="P54" s="56"/>
      <c r="R54" s="259"/>
    </row>
    <row r="55" spans="1:20" s="146" customFormat="1" ht="26.25" customHeight="1">
      <c r="A55" s="1006">
        <f>A4</f>
        <v>0</v>
      </c>
      <c r="B55" s="1007"/>
      <c r="C55" s="1007"/>
      <c r="D55" s="151">
        <f>D13</f>
        <v>0</v>
      </c>
      <c r="E55" s="151">
        <f>H13</f>
        <v>0</v>
      </c>
      <c r="F55" s="151">
        <f>L13</f>
        <v>0</v>
      </c>
      <c r="G55" s="151">
        <f>P13</f>
        <v>0</v>
      </c>
      <c r="H55" s="244">
        <f>T13</f>
        <v>0</v>
      </c>
      <c r="J55" s="260"/>
      <c r="N55" s="260"/>
      <c r="O55" s="142"/>
      <c r="P55" s="145"/>
      <c r="R55" s="260"/>
    </row>
    <row r="56" spans="1:20" s="146" customFormat="1" ht="26.25" customHeight="1">
      <c r="A56" s="1008" t="s">
        <v>208</v>
      </c>
      <c r="B56" s="1009"/>
      <c r="C56" s="1009"/>
      <c r="D56" s="348">
        <f>Inicio!$D$22</f>
        <v>0.21</v>
      </c>
      <c r="E56" s="348">
        <f>D56</f>
        <v>0.21</v>
      </c>
      <c r="F56" s="348">
        <f>E56</f>
        <v>0.21</v>
      </c>
      <c r="G56" s="733">
        <f>F56</f>
        <v>0.21</v>
      </c>
      <c r="H56" s="734">
        <f>G56</f>
        <v>0.21</v>
      </c>
      <c r="J56" s="260"/>
      <c r="N56" s="260"/>
      <c r="O56" s="142"/>
      <c r="P56" s="145"/>
      <c r="R56" s="260"/>
    </row>
    <row r="57" spans="1:20" s="146" customFormat="1" ht="26.25" customHeight="1" thickBot="1">
      <c r="A57" s="1004" t="s">
        <v>205</v>
      </c>
      <c r="B57" s="1005"/>
      <c r="C57" s="1005"/>
      <c r="D57" s="152">
        <f>D55*(1+D56)</f>
        <v>0</v>
      </c>
      <c r="E57" s="152">
        <f>E55*(1+E56)</f>
        <v>0</v>
      </c>
      <c r="F57" s="152">
        <f>F55*(1+F56)</f>
        <v>0</v>
      </c>
      <c r="G57" s="152">
        <f>G55*(1+G56)</f>
        <v>0</v>
      </c>
      <c r="H57" s="245">
        <f>H55*(1+H56)</f>
        <v>0</v>
      </c>
      <c r="J57" s="260"/>
      <c r="N57" s="260"/>
      <c r="O57" s="142"/>
      <c r="P57" s="145"/>
      <c r="R57" s="260"/>
    </row>
    <row r="58" spans="1:20" s="146" customFormat="1" ht="26.25" customHeight="1">
      <c r="A58" s="1006">
        <f>A14</f>
        <v>0</v>
      </c>
      <c r="B58" s="1007"/>
      <c r="C58" s="1007"/>
      <c r="D58" s="151">
        <f>D23</f>
        <v>0</v>
      </c>
      <c r="E58" s="151">
        <f>H23</f>
        <v>0</v>
      </c>
      <c r="F58" s="151">
        <f>L23</f>
        <v>0</v>
      </c>
      <c r="G58" s="151">
        <f>P23</f>
        <v>0</v>
      </c>
      <c r="H58" s="244">
        <f>T23</f>
        <v>0</v>
      </c>
      <c r="J58" s="260"/>
      <c r="N58" s="260"/>
      <c r="O58" s="142"/>
      <c r="P58" s="145"/>
      <c r="R58" s="260"/>
    </row>
    <row r="59" spans="1:20" s="146" customFormat="1" ht="26.25" customHeight="1">
      <c r="A59" s="1008" t="s">
        <v>208</v>
      </c>
      <c r="B59" s="1009"/>
      <c r="C59" s="1009"/>
      <c r="D59" s="348">
        <f>Inicio!$D$22</f>
        <v>0.21</v>
      </c>
      <c r="E59" s="348">
        <f>D59</f>
        <v>0.21</v>
      </c>
      <c r="F59" s="348">
        <f>E59</f>
        <v>0.21</v>
      </c>
      <c r="G59" s="348">
        <f>F59</f>
        <v>0.21</v>
      </c>
      <c r="H59" s="734">
        <f>G59</f>
        <v>0.21</v>
      </c>
      <c r="J59" s="260"/>
      <c r="N59" s="260"/>
      <c r="O59" s="142"/>
      <c r="P59" s="145"/>
      <c r="R59" s="260"/>
    </row>
    <row r="60" spans="1:20" s="146" customFormat="1" ht="26.25" customHeight="1" thickBot="1">
      <c r="A60" s="1004" t="s">
        <v>205</v>
      </c>
      <c r="B60" s="1005"/>
      <c r="C60" s="1005"/>
      <c r="D60" s="152">
        <f>D58*(1+D59)</f>
        <v>0</v>
      </c>
      <c r="E60" s="152">
        <f>E58*(1+E59)</f>
        <v>0</v>
      </c>
      <c r="F60" s="152">
        <f>F58*(1+F59)</f>
        <v>0</v>
      </c>
      <c r="G60" s="152">
        <f>G58*(1+G59)</f>
        <v>0</v>
      </c>
      <c r="H60" s="245">
        <f>H58*(1+H59)</f>
        <v>0</v>
      </c>
      <c r="J60" s="260"/>
      <c r="N60" s="260"/>
      <c r="O60" s="142"/>
      <c r="P60" s="145"/>
      <c r="R60" s="260"/>
    </row>
    <row r="61" spans="1:20" s="146" customFormat="1" ht="26.25" customHeight="1">
      <c r="A61" s="1006">
        <f>A24</f>
        <v>0</v>
      </c>
      <c r="B61" s="1007"/>
      <c r="C61" s="1007"/>
      <c r="D61" s="151">
        <f>D33</f>
        <v>0</v>
      </c>
      <c r="E61" s="151">
        <f>H33</f>
        <v>0</v>
      </c>
      <c r="F61" s="151">
        <f>L33</f>
        <v>0</v>
      </c>
      <c r="G61" s="151">
        <f>P33</f>
        <v>0</v>
      </c>
      <c r="H61" s="244">
        <f>T33</f>
        <v>0</v>
      </c>
      <c r="J61" s="260"/>
      <c r="N61" s="260"/>
      <c r="O61" s="142"/>
      <c r="P61" s="145"/>
      <c r="R61" s="260"/>
    </row>
    <row r="62" spans="1:20" s="146" customFormat="1" ht="26.25" customHeight="1">
      <c r="A62" s="1008" t="s">
        <v>208</v>
      </c>
      <c r="B62" s="1009"/>
      <c r="C62" s="1009"/>
      <c r="D62" s="348">
        <f>Inicio!$D$22</f>
        <v>0.21</v>
      </c>
      <c r="E62" s="348">
        <f>D62</f>
        <v>0.21</v>
      </c>
      <c r="F62" s="348">
        <f>E62</f>
        <v>0.21</v>
      </c>
      <c r="G62" s="348">
        <f>F62</f>
        <v>0.21</v>
      </c>
      <c r="H62" s="734">
        <f>G62</f>
        <v>0.21</v>
      </c>
      <c r="J62" s="260"/>
      <c r="N62" s="260"/>
      <c r="O62" s="142"/>
      <c r="P62" s="145"/>
      <c r="R62" s="260"/>
    </row>
    <row r="63" spans="1:20" s="146" customFormat="1" ht="26.25" customHeight="1" thickBot="1">
      <c r="A63" s="1004" t="s">
        <v>205</v>
      </c>
      <c r="B63" s="1005"/>
      <c r="C63" s="1005"/>
      <c r="D63" s="152">
        <f>D61*(1+D62)</f>
        <v>0</v>
      </c>
      <c r="E63" s="152">
        <f>E61*(1+E62)</f>
        <v>0</v>
      </c>
      <c r="F63" s="152">
        <f>F61*(1+F62)</f>
        <v>0</v>
      </c>
      <c r="G63" s="152">
        <f>G61*(1+G62)</f>
        <v>0</v>
      </c>
      <c r="H63" s="245">
        <f>H61*(1+H62)</f>
        <v>0</v>
      </c>
      <c r="J63" s="260"/>
      <c r="N63" s="260"/>
      <c r="O63" s="142"/>
      <c r="P63" s="145"/>
      <c r="R63" s="260"/>
    </row>
    <row r="64" spans="1:20" s="150" customFormat="1" ht="26.25" customHeight="1">
      <c r="A64" s="1006">
        <f>A34</f>
        <v>0</v>
      </c>
      <c r="B64" s="1007"/>
      <c r="C64" s="1007"/>
      <c r="D64" s="151">
        <f>D43</f>
        <v>0</v>
      </c>
      <c r="E64" s="151">
        <f>H43</f>
        <v>0</v>
      </c>
      <c r="F64" s="151">
        <f>L43</f>
        <v>0</v>
      </c>
      <c r="G64" s="151">
        <f>P43</f>
        <v>0</v>
      </c>
      <c r="H64" s="244">
        <f>T43</f>
        <v>0</v>
      </c>
      <c r="J64" s="261"/>
      <c r="N64" s="261"/>
      <c r="O64" s="153"/>
      <c r="P64" s="154"/>
      <c r="R64" s="261"/>
    </row>
    <row r="65" spans="1:18" s="150" customFormat="1" ht="26.25" customHeight="1">
      <c r="A65" s="1008" t="s">
        <v>208</v>
      </c>
      <c r="B65" s="1009"/>
      <c r="C65" s="1009"/>
      <c r="D65" s="348">
        <f>Inicio!$D$22</f>
        <v>0.21</v>
      </c>
      <c r="E65" s="348">
        <f>D65</f>
        <v>0.21</v>
      </c>
      <c r="F65" s="348">
        <f>E65</f>
        <v>0.21</v>
      </c>
      <c r="G65" s="348">
        <f>F65</f>
        <v>0.21</v>
      </c>
      <c r="H65" s="734">
        <f>G65</f>
        <v>0.21</v>
      </c>
      <c r="J65" s="261"/>
      <c r="N65" s="261"/>
      <c r="O65" s="153"/>
      <c r="P65" s="154"/>
      <c r="R65" s="261"/>
    </row>
    <row r="66" spans="1:18" s="150" customFormat="1" ht="26.25" customHeight="1" thickBot="1">
      <c r="A66" s="1004" t="s">
        <v>205</v>
      </c>
      <c r="B66" s="1005"/>
      <c r="C66" s="1005"/>
      <c r="D66" s="152">
        <f>D64*(1+D65)</f>
        <v>0</v>
      </c>
      <c r="E66" s="152">
        <f>E64*(1+E65)</f>
        <v>0</v>
      </c>
      <c r="F66" s="152">
        <f>F64*(1+F65)</f>
        <v>0</v>
      </c>
      <c r="G66" s="152">
        <f>G64*(1+G65)</f>
        <v>0</v>
      </c>
      <c r="H66" s="245">
        <f>H64*(1+H65)</f>
        <v>0</v>
      </c>
      <c r="J66" s="261"/>
      <c r="N66" s="261"/>
      <c r="O66" s="153"/>
      <c r="P66" s="154"/>
      <c r="R66" s="261"/>
    </row>
    <row r="67" spans="1:18" s="146" customFormat="1" ht="26.25" customHeight="1">
      <c r="A67" s="1006">
        <f>A44</f>
        <v>0</v>
      </c>
      <c r="B67" s="1007"/>
      <c r="C67" s="1007"/>
      <c r="D67" s="151">
        <f>D53</f>
        <v>0</v>
      </c>
      <c r="E67" s="151">
        <f>H53</f>
        <v>0</v>
      </c>
      <c r="F67" s="151">
        <f>L53</f>
        <v>0</v>
      </c>
      <c r="G67" s="151">
        <f>P53</f>
        <v>0</v>
      </c>
      <c r="H67" s="244">
        <f>T53</f>
        <v>0</v>
      </c>
      <c r="J67" s="260"/>
      <c r="N67" s="260"/>
      <c r="O67" s="142"/>
      <c r="P67" s="145"/>
      <c r="R67" s="260"/>
    </row>
    <row r="68" spans="1:18" s="146" customFormat="1" ht="26.25" customHeight="1">
      <c r="A68" s="1008" t="s">
        <v>208</v>
      </c>
      <c r="B68" s="1009"/>
      <c r="C68" s="1009"/>
      <c r="D68" s="348">
        <f>Inicio!$D$22</f>
        <v>0.21</v>
      </c>
      <c r="E68" s="348">
        <f>D68</f>
        <v>0.21</v>
      </c>
      <c r="F68" s="348">
        <f>E68</f>
        <v>0.21</v>
      </c>
      <c r="G68" s="348">
        <f>F68</f>
        <v>0.21</v>
      </c>
      <c r="H68" s="734">
        <f>G68</f>
        <v>0.21</v>
      </c>
      <c r="J68" s="260"/>
      <c r="N68" s="260"/>
      <c r="O68" s="142"/>
      <c r="P68" s="145"/>
      <c r="R68" s="260"/>
    </row>
    <row r="69" spans="1:18" s="146" customFormat="1" ht="26.25" customHeight="1" thickBot="1">
      <c r="A69" s="1004" t="s">
        <v>205</v>
      </c>
      <c r="B69" s="1005"/>
      <c r="C69" s="1005"/>
      <c r="D69" s="152">
        <f>D67*(1+D68)</f>
        <v>0</v>
      </c>
      <c r="E69" s="152">
        <f>E67*(1+E68)</f>
        <v>0</v>
      </c>
      <c r="F69" s="152">
        <f>F67*(1+F68)</f>
        <v>0</v>
      </c>
      <c r="G69" s="152">
        <f>G67*(1+G68)</f>
        <v>0</v>
      </c>
      <c r="H69" s="245">
        <f>H67*(1+H68)</f>
        <v>0</v>
      </c>
      <c r="J69" s="260"/>
      <c r="N69" s="260"/>
      <c r="O69" s="142"/>
      <c r="P69" s="145"/>
      <c r="R69" s="260"/>
    </row>
    <row r="70" spans="1:18" ht="34.5" customHeight="1" thickBot="1">
      <c r="A70" s="979" t="s">
        <v>207</v>
      </c>
      <c r="B70" s="980"/>
      <c r="C70" s="980"/>
      <c r="D70" s="60">
        <f>D55+D58+D61+D64+D67</f>
        <v>0</v>
      </c>
      <c r="E70" s="60">
        <f>E55+E58+E61+E64+E67</f>
        <v>0</v>
      </c>
      <c r="F70" s="60">
        <f>F55+F58+F61+F64+F67</f>
        <v>0</v>
      </c>
      <c r="G70" s="60">
        <f>G55+G58+G61+G64+G67</f>
        <v>0</v>
      </c>
      <c r="H70" s="246">
        <f>H55+H58+H61+H64+H67</f>
        <v>0</v>
      </c>
    </row>
    <row r="71" spans="1:18" ht="33.75" customHeight="1" thickBot="1">
      <c r="A71" s="979" t="s">
        <v>206</v>
      </c>
      <c r="B71" s="980"/>
      <c r="C71" s="980"/>
      <c r="D71" s="60">
        <f>D57+D60+D63+D66+D69</f>
        <v>0</v>
      </c>
      <c r="E71" s="60">
        <f>E57+E60+E63+E66+E69</f>
        <v>0</v>
      </c>
      <c r="F71" s="60">
        <f>F57+F60+F63+F66+F69</f>
        <v>0</v>
      </c>
      <c r="G71" s="60">
        <f>G57+G60+G63+G66+G69</f>
        <v>0</v>
      </c>
      <c r="H71" s="246">
        <f>H57+H60+H63+H66+H69</f>
        <v>0</v>
      </c>
    </row>
    <row r="72" spans="1:18" ht="24" customHeight="1"/>
    <row r="73" spans="1:18" s="12" customFormat="1" ht="24" customHeight="1">
      <c r="F73" s="255"/>
      <c r="J73" s="255"/>
      <c r="N73" s="255"/>
      <c r="O73" s="58"/>
      <c r="P73" s="59"/>
      <c r="R73" s="255"/>
    </row>
    <row r="74" spans="1:18" s="12" customFormat="1" ht="24" customHeight="1">
      <c r="F74" s="255"/>
      <c r="J74" s="255"/>
      <c r="N74" s="255"/>
      <c r="O74" s="58"/>
      <c r="P74" s="59"/>
      <c r="R74" s="255"/>
    </row>
    <row r="75" spans="1:18" ht="24" customHeight="1"/>
    <row r="76" spans="1:18" ht="24" customHeight="1"/>
    <row r="77" spans="1:18" s="12" customFormat="1" ht="21.75" customHeight="1">
      <c r="F77" s="255"/>
      <c r="J77" s="255"/>
      <c r="N77" s="255"/>
      <c r="O77" s="58"/>
      <c r="P77" s="59"/>
      <c r="R77" s="255"/>
    </row>
    <row r="78" spans="1:18" s="12" customFormat="1">
      <c r="F78" s="255"/>
      <c r="J78" s="255"/>
      <c r="N78" s="255"/>
      <c r="O78" s="58"/>
      <c r="P78" s="59"/>
      <c r="R78" s="255"/>
    </row>
    <row r="79" spans="1:18" ht="18">
      <c r="A79" s="10"/>
      <c r="B79" s="62"/>
      <c r="C79" s="11"/>
      <c r="D79" s="11"/>
      <c r="E79" s="11"/>
      <c r="F79" s="256"/>
      <c r="G79" s="11"/>
      <c r="H79" s="11"/>
      <c r="I79" s="11"/>
      <c r="J79" s="256"/>
      <c r="K79" s="11"/>
      <c r="L79" s="58"/>
      <c r="M79" s="11"/>
      <c r="N79" s="256"/>
      <c r="Q79" s="11"/>
      <c r="R79" s="262"/>
    </row>
    <row r="80" spans="1:18">
      <c r="L80" s="11"/>
      <c r="R80" s="256"/>
    </row>
    <row r="92" spans="1:6" ht="17.25" hidden="1" thickBot="1">
      <c r="A92" s="92" t="s">
        <v>286</v>
      </c>
      <c r="B92" s="93" t="s">
        <v>60</v>
      </c>
      <c r="C92" s="93" t="s">
        <v>61</v>
      </c>
      <c r="D92" s="93" t="s">
        <v>62</v>
      </c>
      <c r="E92" s="93" t="s">
        <v>176</v>
      </c>
      <c r="F92" s="257" t="s">
        <v>177</v>
      </c>
    </row>
    <row r="93" spans="1:6" hidden="1">
      <c r="A93" s="89">
        <f>A55</f>
        <v>0</v>
      </c>
      <c r="B93" s="90">
        <f>D57-D55</f>
        <v>0</v>
      </c>
      <c r="C93" s="90">
        <f>E57-E55</f>
        <v>0</v>
      </c>
      <c r="D93" s="90">
        <f>F57-F55</f>
        <v>0</v>
      </c>
      <c r="E93" s="90">
        <f>G57-G55</f>
        <v>0</v>
      </c>
      <c r="F93" s="248">
        <f>H57-H55</f>
        <v>0</v>
      </c>
    </row>
    <row r="94" spans="1:6" hidden="1">
      <c r="A94" s="89">
        <f>A58</f>
        <v>0</v>
      </c>
      <c r="B94" s="90">
        <f>D60-D58</f>
        <v>0</v>
      </c>
      <c r="C94" s="90">
        <f>E60-E58</f>
        <v>0</v>
      </c>
      <c r="D94" s="90">
        <f>F60-F58</f>
        <v>0</v>
      </c>
      <c r="E94" s="90">
        <f>G60-G58</f>
        <v>0</v>
      </c>
      <c r="F94" s="248">
        <f>H60-H58</f>
        <v>0</v>
      </c>
    </row>
    <row r="95" spans="1:6" hidden="1">
      <c r="A95" s="89">
        <f>A61</f>
        <v>0</v>
      </c>
      <c r="B95" s="90">
        <f>D63-D61</f>
        <v>0</v>
      </c>
      <c r="C95" s="90">
        <f>E63-E61</f>
        <v>0</v>
      </c>
      <c r="D95" s="90">
        <f>F63-F61</f>
        <v>0</v>
      </c>
      <c r="E95" s="90">
        <f>G63-G61</f>
        <v>0</v>
      </c>
      <c r="F95" s="248">
        <f>H63-H61</f>
        <v>0</v>
      </c>
    </row>
    <row r="96" spans="1:6" hidden="1">
      <c r="A96" s="89">
        <f>A64</f>
        <v>0</v>
      </c>
      <c r="B96" s="90">
        <f>D66-D64</f>
        <v>0</v>
      </c>
      <c r="C96" s="90">
        <f>E66-E64</f>
        <v>0</v>
      </c>
      <c r="D96" s="90">
        <f>F66-F64</f>
        <v>0</v>
      </c>
      <c r="E96" s="90">
        <f>G66-G64</f>
        <v>0</v>
      </c>
      <c r="F96" s="248">
        <f>H66-H64</f>
        <v>0</v>
      </c>
    </row>
    <row r="97" spans="1:18" ht="17.25" hidden="1" thickBot="1">
      <c r="A97" s="95">
        <f>A67</f>
        <v>0</v>
      </c>
      <c r="B97" s="90">
        <f>D69-D67</f>
        <v>0</v>
      </c>
      <c r="C97" s="90">
        <f>E69-E67</f>
        <v>0</v>
      </c>
      <c r="D97" s="90">
        <f>F69-F67</f>
        <v>0</v>
      </c>
      <c r="E97" s="90">
        <f>G69-G67</f>
        <v>0</v>
      </c>
      <c r="F97" s="248">
        <f>H69-H67</f>
        <v>0</v>
      </c>
    </row>
    <row r="98" spans="1:18" ht="17.25" hidden="1" thickBot="1">
      <c r="A98" s="92" t="s">
        <v>285</v>
      </c>
      <c r="B98" s="93">
        <f>SUM(B93:B97)</f>
        <v>0</v>
      </c>
      <c r="C98" s="93">
        <f>SUM(C93:C97)</f>
        <v>0</v>
      </c>
      <c r="D98" s="93">
        <f>SUM(D93:D97)</f>
        <v>0</v>
      </c>
      <c r="E98" s="93">
        <f>SUM(E93:E97)</f>
        <v>0</v>
      </c>
      <c r="F98" s="247">
        <f>SUM(F93:F97)</f>
        <v>0</v>
      </c>
    </row>
    <row r="99" spans="1:18" hidden="1">
      <c r="F99" s="243"/>
    </row>
    <row r="100" spans="1:18" hidden="1">
      <c r="F100" s="243"/>
    </row>
    <row r="101" spans="1:18" ht="17.25" hidden="1" thickBot="1">
      <c r="F101" s="243"/>
    </row>
    <row r="102" spans="1:18" s="54" customFormat="1" ht="34.5" hidden="1" customHeight="1" thickBot="1">
      <c r="A102" s="63" t="s">
        <v>247</v>
      </c>
      <c r="B102" s="64" t="s">
        <v>60</v>
      </c>
      <c r="C102" s="64" t="s">
        <v>61</v>
      </c>
      <c r="D102" s="64" t="s">
        <v>62</v>
      </c>
      <c r="E102" s="64" t="s">
        <v>176</v>
      </c>
      <c r="F102" s="249" t="s">
        <v>177</v>
      </c>
      <c r="J102" s="259"/>
      <c r="N102" s="259"/>
      <c r="O102" s="55"/>
      <c r="P102" s="56"/>
      <c r="R102" s="259"/>
    </row>
    <row r="103" spans="1:18" ht="26.25" hidden="1" customHeight="1">
      <c r="A103" s="65">
        <f>A55</f>
        <v>0</v>
      </c>
      <c r="B103" s="57">
        <f>D55</f>
        <v>0</v>
      </c>
      <c r="C103" s="57">
        <f>E55</f>
        <v>0</v>
      </c>
      <c r="D103" s="57">
        <f>F55</f>
        <v>0</v>
      </c>
      <c r="E103" s="57">
        <f>G55</f>
        <v>0</v>
      </c>
      <c r="F103" s="250">
        <f>H55</f>
        <v>0</v>
      </c>
    </row>
    <row r="104" spans="1:18" ht="33.75" hidden="1" customHeight="1">
      <c r="A104" s="224" t="s">
        <v>318</v>
      </c>
      <c r="B104" s="225">
        <f>-D5-D9</f>
        <v>0</v>
      </c>
      <c r="C104" s="225">
        <f>-H5-H9</f>
        <v>0</v>
      </c>
      <c r="D104" s="225">
        <f>-L5-L9</f>
        <v>0</v>
      </c>
      <c r="E104" s="225">
        <f>-P5-P9</f>
        <v>0</v>
      </c>
      <c r="F104" s="251">
        <f>-T5-T9</f>
        <v>0</v>
      </c>
    </row>
    <row r="105" spans="1:18" ht="27.75" hidden="1" customHeight="1">
      <c r="A105" s="66" t="s">
        <v>246</v>
      </c>
      <c r="B105" s="268">
        <f>-SUM(D11:D12)</f>
        <v>0</v>
      </c>
      <c r="C105" s="268">
        <f>-SUM(H11:H12)</f>
        <v>0</v>
      </c>
      <c r="D105" s="268">
        <f>-SUM(L11:L12)</f>
        <v>0</v>
      </c>
      <c r="E105" s="268">
        <f>-SUM(P11:P12)</f>
        <v>0</v>
      </c>
      <c r="F105" s="269">
        <f>-SUM(T11:T12)</f>
        <v>0</v>
      </c>
    </row>
    <row r="106" spans="1:18" ht="26.25" hidden="1" customHeight="1" thickBot="1">
      <c r="A106" s="67" t="s">
        <v>1</v>
      </c>
      <c r="B106" s="270">
        <f>SUM(B103:B105)</f>
        <v>0</v>
      </c>
      <c r="C106" s="270">
        <f>SUM(C103:C105)</f>
        <v>0</v>
      </c>
      <c r="D106" s="270">
        <f>SUM(D103:D105)</f>
        <v>0</v>
      </c>
      <c r="E106" s="270">
        <f>SUM(E103:E105)</f>
        <v>0</v>
      </c>
      <c r="F106" s="271">
        <f>SUM(F103:F105)</f>
        <v>0</v>
      </c>
    </row>
    <row r="107" spans="1:18" ht="26.25" hidden="1" customHeight="1">
      <c r="A107" s="65">
        <f>A58</f>
        <v>0</v>
      </c>
      <c r="B107" s="57">
        <f>D58</f>
        <v>0</v>
      </c>
      <c r="C107" s="57">
        <f>E58</f>
        <v>0</v>
      </c>
      <c r="D107" s="57">
        <f>F58</f>
        <v>0</v>
      </c>
      <c r="E107" s="57">
        <f>G58</f>
        <v>0</v>
      </c>
      <c r="F107" s="250">
        <f>H58</f>
        <v>0</v>
      </c>
    </row>
    <row r="108" spans="1:18" ht="33.75" hidden="1" customHeight="1">
      <c r="A108" s="224" t="s">
        <v>318</v>
      </c>
      <c r="B108" s="225">
        <f>-D15-D19</f>
        <v>0</v>
      </c>
      <c r="C108" s="225">
        <f>-H15-H19</f>
        <v>0</v>
      </c>
      <c r="D108" s="225">
        <f>-L15-L19</f>
        <v>0</v>
      </c>
      <c r="E108" s="225">
        <f>-P15-P19</f>
        <v>0</v>
      </c>
      <c r="F108" s="251">
        <f>-T15-T19</f>
        <v>0</v>
      </c>
    </row>
    <row r="109" spans="1:18" ht="26.25" hidden="1" customHeight="1">
      <c r="A109" s="66" t="s">
        <v>246</v>
      </c>
      <c r="B109" s="268">
        <f>-SUM(D21:D22)</f>
        <v>0</v>
      </c>
      <c r="C109" s="268">
        <f>-SUM(H21:H22)</f>
        <v>0</v>
      </c>
      <c r="D109" s="268">
        <f>-SUM(L21:L22)</f>
        <v>0</v>
      </c>
      <c r="E109" s="268">
        <f>-SUM(P21:P22)</f>
        <v>0</v>
      </c>
      <c r="F109" s="269">
        <f>-SUM(T21:T22)</f>
        <v>0</v>
      </c>
    </row>
    <row r="110" spans="1:18" ht="26.25" hidden="1" customHeight="1" thickBot="1">
      <c r="A110" s="67" t="s">
        <v>1</v>
      </c>
      <c r="B110" s="270">
        <f>SUM(B107:B109)</f>
        <v>0</v>
      </c>
      <c r="C110" s="270">
        <f>SUM(C107:C109)</f>
        <v>0</v>
      </c>
      <c r="D110" s="270">
        <f>SUM(D107:D109)</f>
        <v>0</v>
      </c>
      <c r="E110" s="270">
        <f>SUM(E107:E109)</f>
        <v>0</v>
      </c>
      <c r="F110" s="271">
        <f>SUM(F107:F109)</f>
        <v>0</v>
      </c>
    </row>
    <row r="111" spans="1:18" ht="26.25" hidden="1" customHeight="1">
      <c r="A111" s="65">
        <f>A61</f>
        <v>0</v>
      </c>
      <c r="B111" s="57">
        <f>D61</f>
        <v>0</v>
      </c>
      <c r="C111" s="57">
        <f>E61</f>
        <v>0</v>
      </c>
      <c r="D111" s="57">
        <f>F61</f>
        <v>0</v>
      </c>
      <c r="E111" s="57">
        <f>G61</f>
        <v>0</v>
      </c>
      <c r="F111" s="250">
        <f>H61</f>
        <v>0</v>
      </c>
    </row>
    <row r="112" spans="1:18" ht="33.75" hidden="1" customHeight="1">
      <c r="A112" s="224" t="s">
        <v>318</v>
      </c>
      <c r="B112" s="225">
        <f>-D25-D29</f>
        <v>0</v>
      </c>
      <c r="C112" s="225">
        <f>-H25-H29</f>
        <v>0</v>
      </c>
      <c r="D112" s="225">
        <f>-L25-L29</f>
        <v>0</v>
      </c>
      <c r="E112" s="225">
        <f>-P25-P29</f>
        <v>0</v>
      </c>
      <c r="F112" s="251">
        <f>-T25-T29</f>
        <v>0</v>
      </c>
    </row>
    <row r="113" spans="1:18" ht="26.25" hidden="1" customHeight="1">
      <c r="A113" s="66" t="s">
        <v>246</v>
      </c>
      <c r="B113" s="268">
        <f>-SUM(D31:D32)</f>
        <v>0</v>
      </c>
      <c r="C113" s="268">
        <f>-SUM(H31:H32)</f>
        <v>0</v>
      </c>
      <c r="D113" s="268">
        <f>-SUM(L31:L32)</f>
        <v>0</v>
      </c>
      <c r="E113" s="268">
        <f>-SUM(P31:P32)</f>
        <v>0</v>
      </c>
      <c r="F113" s="269">
        <f>-SUM(T31:T32)</f>
        <v>0</v>
      </c>
    </row>
    <row r="114" spans="1:18" ht="26.25" hidden="1" customHeight="1" thickBot="1">
      <c r="A114" s="67" t="s">
        <v>1</v>
      </c>
      <c r="B114" s="270">
        <f>SUM(B111:B113)</f>
        <v>0</v>
      </c>
      <c r="C114" s="270">
        <f>SUM(C111:C113)</f>
        <v>0</v>
      </c>
      <c r="D114" s="270">
        <f>SUM(D111:D113)</f>
        <v>0</v>
      </c>
      <c r="E114" s="270">
        <f>SUM(E111:E113)</f>
        <v>0</v>
      </c>
      <c r="F114" s="271">
        <f>SUM(F111:F113)</f>
        <v>0</v>
      </c>
    </row>
    <row r="115" spans="1:18" s="12" customFormat="1" ht="26.25" hidden="1" customHeight="1">
      <c r="A115" s="65">
        <f>A64</f>
        <v>0</v>
      </c>
      <c r="B115" s="57">
        <f>D64</f>
        <v>0</v>
      </c>
      <c r="C115" s="57">
        <f>E64</f>
        <v>0</v>
      </c>
      <c r="D115" s="57">
        <f>F64</f>
        <v>0</v>
      </c>
      <c r="E115" s="57">
        <f>G64</f>
        <v>0</v>
      </c>
      <c r="F115" s="250">
        <f>H64</f>
        <v>0</v>
      </c>
      <c r="J115" s="255"/>
      <c r="N115" s="255"/>
      <c r="O115" s="58"/>
      <c r="P115" s="59"/>
      <c r="R115" s="255"/>
    </row>
    <row r="116" spans="1:18" s="12" customFormat="1" ht="33" hidden="1" customHeight="1">
      <c r="A116" s="224" t="s">
        <v>318</v>
      </c>
      <c r="B116" s="225">
        <f>-D35-D39</f>
        <v>0</v>
      </c>
      <c r="C116" s="225">
        <f>-H35-H39</f>
        <v>0</v>
      </c>
      <c r="D116" s="225">
        <f>-L35-L39</f>
        <v>0</v>
      </c>
      <c r="E116" s="225">
        <f>-P35-P39</f>
        <v>0</v>
      </c>
      <c r="F116" s="251">
        <f>-T35-T39</f>
        <v>0</v>
      </c>
      <c r="J116" s="255"/>
      <c r="N116" s="255"/>
      <c r="O116" s="58"/>
      <c r="P116" s="59"/>
      <c r="R116" s="255"/>
    </row>
    <row r="117" spans="1:18" s="12" customFormat="1" ht="26.25" hidden="1" customHeight="1">
      <c r="A117" s="66" t="s">
        <v>246</v>
      </c>
      <c r="B117" s="268">
        <f>-SUM(D41:D42)</f>
        <v>0</v>
      </c>
      <c r="C117" s="268">
        <f>-SUM(H41:H42)</f>
        <v>0</v>
      </c>
      <c r="D117" s="268">
        <f>-SUM(L41:L42)</f>
        <v>0</v>
      </c>
      <c r="E117" s="268">
        <f>-SUM(P41:P42)</f>
        <v>0</v>
      </c>
      <c r="F117" s="269">
        <f>-SUM(T41:T42)</f>
        <v>0</v>
      </c>
      <c r="J117" s="255"/>
      <c r="N117" s="255"/>
      <c r="O117" s="58"/>
      <c r="P117" s="59"/>
      <c r="R117" s="255"/>
    </row>
    <row r="118" spans="1:18" s="12" customFormat="1" ht="26.25" hidden="1" customHeight="1" thickBot="1">
      <c r="A118" s="67" t="s">
        <v>1</v>
      </c>
      <c r="B118" s="270">
        <f>SUM(B115:B117)</f>
        <v>0</v>
      </c>
      <c r="C118" s="270">
        <f>SUM(C115:C117)</f>
        <v>0</v>
      </c>
      <c r="D118" s="270">
        <f>SUM(D115:D117)</f>
        <v>0</v>
      </c>
      <c r="E118" s="270">
        <f>SUM(E115:E117)</f>
        <v>0</v>
      </c>
      <c r="F118" s="271">
        <f>SUM(F115:F117)</f>
        <v>0</v>
      </c>
      <c r="J118" s="255"/>
      <c r="N118" s="255"/>
      <c r="O118" s="58"/>
      <c r="P118" s="59"/>
      <c r="R118" s="255"/>
    </row>
    <row r="119" spans="1:18" ht="26.25" hidden="1" customHeight="1">
      <c r="A119" s="65">
        <f>A67</f>
        <v>0</v>
      </c>
      <c r="B119" s="57">
        <f>D67</f>
        <v>0</v>
      </c>
      <c r="C119" s="57">
        <f>E67</f>
        <v>0</v>
      </c>
      <c r="D119" s="57">
        <f>F67</f>
        <v>0</v>
      </c>
      <c r="E119" s="57">
        <f>G67</f>
        <v>0</v>
      </c>
      <c r="F119" s="250">
        <f>H67</f>
        <v>0</v>
      </c>
    </row>
    <row r="120" spans="1:18" ht="36" hidden="1" customHeight="1">
      <c r="A120" s="224" t="s">
        <v>318</v>
      </c>
      <c r="B120" s="225">
        <f>-D45-D49</f>
        <v>0</v>
      </c>
      <c r="C120" s="225">
        <f>-H45-H49</f>
        <v>0</v>
      </c>
      <c r="D120" s="225">
        <f>-L45-L49</f>
        <v>0</v>
      </c>
      <c r="E120" s="225">
        <f>-P45-P49</f>
        <v>0</v>
      </c>
      <c r="F120" s="251">
        <f>-T45-T49</f>
        <v>0</v>
      </c>
    </row>
    <row r="121" spans="1:18" ht="26.25" hidden="1" customHeight="1">
      <c r="A121" s="66" t="s">
        <v>246</v>
      </c>
      <c r="B121" s="268">
        <f>-SUM(D51:D52)</f>
        <v>0</v>
      </c>
      <c r="C121" s="268">
        <f>-SUM(H51:H52)</f>
        <v>0</v>
      </c>
      <c r="D121" s="268">
        <f>-SUM(L51:L52)</f>
        <v>0</v>
      </c>
      <c r="E121" s="268">
        <f>-SUM(P51:P52)</f>
        <v>0</v>
      </c>
      <c r="F121" s="269">
        <f>-SUM(T51:T52)</f>
        <v>0</v>
      </c>
    </row>
    <row r="122" spans="1:18" ht="26.25" hidden="1" customHeight="1" thickBot="1">
      <c r="A122" s="67" t="s">
        <v>1</v>
      </c>
      <c r="B122" s="270">
        <f>SUM(B119:B121)</f>
        <v>0</v>
      </c>
      <c r="C122" s="270">
        <f>SUM(C119:C121)</f>
        <v>0</v>
      </c>
      <c r="D122" s="270">
        <f>SUM(D119:D121)</f>
        <v>0</v>
      </c>
      <c r="E122" s="270">
        <f>SUM(E119:E121)</f>
        <v>0</v>
      </c>
      <c r="F122" s="271">
        <f>SUM(F119:F121)</f>
        <v>0</v>
      </c>
    </row>
    <row r="123" spans="1:18" ht="34.5" hidden="1" customHeight="1" thickBot="1">
      <c r="A123" s="68" t="s">
        <v>248</v>
      </c>
      <c r="B123" s="69">
        <f>B106+B110+B114+B118+B122</f>
        <v>0</v>
      </c>
      <c r="C123" s="69">
        <f>C106+C110+C114+C118+C122</f>
        <v>0</v>
      </c>
      <c r="D123" s="69">
        <f>D106+D110+D114+D118+D122</f>
        <v>0</v>
      </c>
      <c r="E123" s="69">
        <f>E106+E110+E114+E118+E122</f>
        <v>0</v>
      </c>
      <c r="F123" s="252">
        <f>F106+F110+F114+F118+F122</f>
        <v>0</v>
      </c>
    </row>
  </sheetData>
  <sheetProtection password="A6E9" sheet="1" formatColumns="0"/>
  <mergeCells count="24">
    <mergeCell ref="A70:C70"/>
    <mergeCell ref="A59:C59"/>
    <mergeCell ref="A68:C68"/>
    <mergeCell ref="A69:C69"/>
    <mergeCell ref="A55:C55"/>
    <mergeCell ref="A56:C56"/>
    <mergeCell ref="A57:C57"/>
    <mergeCell ref="A58:C58"/>
    <mergeCell ref="A2:T2"/>
    <mergeCell ref="B3:D3"/>
    <mergeCell ref="E3:H3"/>
    <mergeCell ref="I3:L3"/>
    <mergeCell ref="M3:P3"/>
    <mergeCell ref="Q3:T3"/>
    <mergeCell ref="A54:C54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</mergeCells>
  <phoneticPr fontId="0" type="noConversion"/>
  <printOptions horizontalCentered="1" gridLinesSet="0"/>
  <pageMargins left="0.51181102362204722" right="0.51181102362204722" top="0.59055118110236227" bottom="0.51181102362204722" header="0.27559055118110237" footer="0.27559055118110237"/>
  <pageSetup paperSize="9" scale="56" fitToHeight="2" orientation="landscape" horizontalDpi="240" verticalDpi="4294967292" r:id="rId1"/>
  <headerFooter alignWithMargins="0">
    <oddHeader>&amp;C&amp;14&amp;U&amp;A</oddHeader>
    <oddFooter>Página &amp;P</oddFooter>
  </headerFooter>
  <rowBreaks count="1" manualBreakCount="1">
    <brk id="53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5" r:id="rId4" name="Button 13">
              <controlPr defaultSize="0" print="0" autoFill="0" autoPict="0" macro="[0]!Inicio">
                <anchor moveWithCells="1" sizeWithCells="1">
                  <from>
                    <xdr:col>0</xdr:col>
                    <xdr:colOff>447675</xdr:colOff>
                    <xdr:row>0</xdr:row>
                    <xdr:rowOff>85725</xdr:rowOff>
                  </from>
                  <to>
                    <xdr:col>0</xdr:col>
                    <xdr:colOff>1638300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AI19"/>
  <sheetViews>
    <sheetView showZeros="0" zoomScaleNormal="100" workbookViewId="0">
      <pane xSplit="1" ySplit="4" topLeftCell="B5" activePane="bottomRight" state="frozen"/>
      <selection activeCell="A28" sqref="A28:W29"/>
      <selection pane="topRight" activeCell="A28" sqref="A28:W29"/>
      <selection pane="bottomLeft" activeCell="A28" sqref="A28:W29"/>
      <selection pane="bottomRight" activeCell="B5" sqref="B5"/>
    </sheetView>
  </sheetViews>
  <sheetFormatPr baseColWidth="10" defaultColWidth="0" defaultRowHeight="16.5"/>
  <cols>
    <col min="1" max="1" width="24.375" style="7" bestFit="1" customWidth="1"/>
    <col min="2" max="2" width="10.5" style="7" customWidth="1"/>
    <col min="3" max="3" width="8.875" style="7" customWidth="1"/>
    <col min="4" max="4" width="8.75" style="7" customWidth="1"/>
    <col min="5" max="5" width="7.625" style="7" customWidth="1"/>
    <col min="6" max="6" width="7.625" style="7" hidden="1" customWidth="1"/>
    <col min="7" max="7" width="8.375" style="7" customWidth="1"/>
    <col min="8" max="8" width="10.875" style="7" customWidth="1"/>
    <col min="9" max="9" width="11.125" style="7" customWidth="1"/>
    <col min="10" max="10" width="9.125" style="7" customWidth="1"/>
    <col min="11" max="11" width="9.5" style="7" customWidth="1"/>
    <col min="12" max="12" width="7.875" style="7" customWidth="1"/>
    <col min="13" max="13" width="7.875" style="7" hidden="1" customWidth="1"/>
    <col min="14" max="14" width="10.25" style="7" customWidth="1"/>
    <col min="15" max="15" width="11.375" style="7" customWidth="1"/>
    <col min="16" max="16" width="11.625" style="7" customWidth="1"/>
    <col min="17" max="17" width="10.25" style="7" customWidth="1"/>
    <col min="18" max="18" width="7.875" style="7" customWidth="1"/>
    <col min="19" max="19" width="8" style="7" customWidth="1"/>
    <col min="20" max="20" width="8" style="7" hidden="1" customWidth="1"/>
    <col min="21" max="21" width="9.625" style="7" customWidth="1"/>
    <col min="22" max="22" width="10.5" style="7" customWidth="1"/>
    <col min="23" max="23" width="11" style="7" customWidth="1"/>
    <col min="24" max="24" width="8.75" style="7" customWidth="1"/>
    <col min="25" max="25" width="7.875" style="7" customWidth="1"/>
    <col min="26" max="26" width="8.125" style="7" customWidth="1"/>
    <col min="27" max="27" width="8.125" style="7" hidden="1" customWidth="1"/>
    <col min="28" max="29" width="10.5" style="7" customWidth="1"/>
    <col min="30" max="30" width="11.125" style="7" customWidth="1"/>
    <col min="31" max="31" width="8.75" style="7" customWidth="1"/>
    <col min="32" max="32" width="7.75" style="7" customWidth="1"/>
    <col min="33" max="33" width="8.25" style="7" customWidth="1"/>
    <col min="34" max="34" width="8.25" style="7" hidden="1" customWidth="1"/>
    <col min="35" max="35" width="10.875" style="7" customWidth="1"/>
    <col min="36" max="36" width="11" style="7" customWidth="1"/>
    <col min="37" max="16384" width="0" style="7" hidden="1"/>
  </cols>
  <sheetData>
    <row r="1" spans="1:35" s="12" customFormat="1" ht="31.5" customHeight="1" thickBot="1">
      <c r="F1" s="255"/>
      <c r="J1" s="255"/>
      <c r="N1" s="255"/>
      <c r="O1" s="58"/>
      <c r="P1" s="59"/>
      <c r="R1" s="255"/>
    </row>
    <row r="2" spans="1:35" s="155" customFormat="1" ht="39" customHeight="1" thickBot="1">
      <c r="A2" s="487" t="s">
        <v>35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9"/>
    </row>
    <row r="3" spans="1:35" s="156" customFormat="1" ht="33" customHeight="1" thickBot="1">
      <c r="A3" s="190" t="s">
        <v>217</v>
      </c>
      <c r="B3" s="1017" t="s">
        <v>60</v>
      </c>
      <c r="C3" s="1017"/>
      <c r="D3" s="1017"/>
      <c r="E3" s="1017"/>
      <c r="F3" s="1017"/>
      <c r="G3" s="1017"/>
      <c r="H3" s="1017" t="s">
        <v>61</v>
      </c>
      <c r="I3" s="1017"/>
      <c r="J3" s="1017"/>
      <c r="K3" s="1017"/>
      <c r="L3" s="1017"/>
      <c r="M3" s="1017"/>
      <c r="N3" s="1017"/>
      <c r="O3" s="1017" t="s">
        <v>62</v>
      </c>
      <c r="P3" s="1017"/>
      <c r="Q3" s="1017"/>
      <c r="R3" s="1017"/>
      <c r="S3" s="1017"/>
      <c r="T3" s="1017"/>
      <c r="U3" s="1017"/>
      <c r="V3" s="1017" t="s">
        <v>176</v>
      </c>
      <c r="W3" s="1017"/>
      <c r="X3" s="1017"/>
      <c r="Y3" s="1017"/>
      <c r="Z3" s="1017"/>
      <c r="AA3" s="1017"/>
      <c r="AB3" s="1017"/>
      <c r="AC3" s="1017" t="s">
        <v>177</v>
      </c>
      <c r="AD3" s="1017"/>
      <c r="AE3" s="1017"/>
      <c r="AF3" s="1017"/>
      <c r="AG3" s="1017"/>
      <c r="AH3" s="1018"/>
      <c r="AI3" s="1019"/>
    </row>
    <row r="4" spans="1:35" s="167" customFormat="1" ht="33">
      <c r="A4" s="484" t="s">
        <v>219</v>
      </c>
      <c r="B4" s="485" t="s">
        <v>218</v>
      </c>
      <c r="C4" s="485" t="s">
        <v>220</v>
      </c>
      <c r="D4" s="485" t="s">
        <v>221</v>
      </c>
      <c r="E4" s="485" t="s">
        <v>225</v>
      </c>
      <c r="F4" s="485" t="s">
        <v>407</v>
      </c>
      <c r="G4" s="485" t="s">
        <v>223</v>
      </c>
      <c r="H4" s="485" t="s">
        <v>218</v>
      </c>
      <c r="I4" s="485" t="s">
        <v>222</v>
      </c>
      <c r="J4" s="485" t="s">
        <v>220</v>
      </c>
      <c r="K4" s="485" t="s">
        <v>221</v>
      </c>
      <c r="L4" s="485" t="s">
        <v>225</v>
      </c>
      <c r="M4" s="485" t="s">
        <v>407</v>
      </c>
      <c r="N4" s="485" t="s">
        <v>223</v>
      </c>
      <c r="O4" s="485" t="s">
        <v>218</v>
      </c>
      <c r="P4" s="485" t="s">
        <v>222</v>
      </c>
      <c r="Q4" s="485" t="s">
        <v>220</v>
      </c>
      <c r="R4" s="485" t="s">
        <v>221</v>
      </c>
      <c r="S4" s="485" t="s">
        <v>225</v>
      </c>
      <c r="T4" s="485" t="s">
        <v>407</v>
      </c>
      <c r="U4" s="485" t="s">
        <v>223</v>
      </c>
      <c r="V4" s="485" t="s">
        <v>218</v>
      </c>
      <c r="W4" s="485" t="s">
        <v>222</v>
      </c>
      <c r="X4" s="485" t="s">
        <v>220</v>
      </c>
      <c r="Y4" s="485" t="s">
        <v>221</v>
      </c>
      <c r="Z4" s="485" t="s">
        <v>225</v>
      </c>
      <c r="AA4" s="485" t="s">
        <v>407</v>
      </c>
      <c r="AB4" s="485" t="s">
        <v>223</v>
      </c>
      <c r="AC4" s="485" t="s">
        <v>218</v>
      </c>
      <c r="AD4" s="485" t="s">
        <v>222</v>
      </c>
      <c r="AE4" s="485" t="s">
        <v>220</v>
      </c>
      <c r="AF4" s="485" t="s">
        <v>221</v>
      </c>
      <c r="AG4" s="485" t="s">
        <v>225</v>
      </c>
      <c r="AH4" s="485" t="s">
        <v>407</v>
      </c>
      <c r="AI4" s="486" t="s">
        <v>223</v>
      </c>
    </row>
    <row r="5" spans="1:35" s="161" customFormat="1" ht="18.75" customHeight="1">
      <c r="A5" s="165" t="s">
        <v>224</v>
      </c>
      <c r="B5" s="158"/>
      <c r="C5" s="164"/>
      <c r="D5" s="351">
        <f>Inicio!$D$27</f>
        <v>0.3</v>
      </c>
      <c r="E5" s="157">
        <f t="shared" ref="E5:E12" si="0">C5*D5</f>
        <v>0</v>
      </c>
      <c r="F5" s="157">
        <f>E5*B5</f>
        <v>0</v>
      </c>
      <c r="G5" s="157">
        <f t="shared" ref="G5:G12" si="1">B5*(C5+E5)</f>
        <v>0</v>
      </c>
      <c r="H5" s="352">
        <f t="shared" ref="H5:H12" si="2">B5</f>
        <v>0</v>
      </c>
      <c r="I5" s="159"/>
      <c r="J5" s="157">
        <f t="shared" ref="J5:J12" si="3">C5*(1+I5)</f>
        <v>0</v>
      </c>
      <c r="K5" s="351">
        <f t="shared" ref="K5:K12" si="4">D5</f>
        <v>0.3</v>
      </c>
      <c r="L5" s="157">
        <f t="shared" ref="L5:L12" si="5">J5*K5</f>
        <v>0</v>
      </c>
      <c r="M5" s="157">
        <f>L5*H5</f>
        <v>0</v>
      </c>
      <c r="N5" s="157">
        <f t="shared" ref="N5:N12" si="6">H5*(J5+L5)</f>
        <v>0</v>
      </c>
      <c r="O5" s="352">
        <f>H5</f>
        <v>0</v>
      </c>
      <c r="P5" s="351">
        <f t="shared" ref="O5:P12" si="7">I5</f>
        <v>0</v>
      </c>
      <c r="Q5" s="157">
        <f t="shared" ref="Q5:Q12" si="8">J5*(1+P5)</f>
        <v>0</v>
      </c>
      <c r="R5" s="351">
        <f t="shared" ref="R5:R12" si="9">K5</f>
        <v>0.3</v>
      </c>
      <c r="S5" s="157">
        <f t="shared" ref="S5:S12" si="10">Q5*R5</f>
        <v>0</v>
      </c>
      <c r="T5" s="157">
        <f>S5*O5</f>
        <v>0</v>
      </c>
      <c r="U5" s="157">
        <f t="shared" ref="U5:U12" si="11">O5*(Q5+S5)</f>
        <v>0</v>
      </c>
      <c r="V5" s="352">
        <f t="shared" ref="V5:W12" si="12">O5</f>
        <v>0</v>
      </c>
      <c r="W5" s="351">
        <f t="shared" si="12"/>
        <v>0</v>
      </c>
      <c r="X5" s="157">
        <f t="shared" ref="X5:X12" si="13">Q5*(1+W5)</f>
        <v>0</v>
      </c>
      <c r="Y5" s="351">
        <f t="shared" ref="Y5:Y12" si="14">R5</f>
        <v>0.3</v>
      </c>
      <c r="Z5" s="157">
        <f t="shared" ref="Z5:Z12" si="15">X5*Y5</f>
        <v>0</v>
      </c>
      <c r="AA5" s="157">
        <f>Z5*V5</f>
        <v>0</v>
      </c>
      <c r="AB5" s="157">
        <f t="shared" ref="AB5:AB12" si="16">V5*(X5+Z5)</f>
        <v>0</v>
      </c>
      <c r="AC5" s="352">
        <f t="shared" ref="AC5:AD12" si="17">V5</f>
        <v>0</v>
      </c>
      <c r="AD5" s="351">
        <f t="shared" si="17"/>
        <v>0</v>
      </c>
      <c r="AE5" s="157">
        <f t="shared" ref="AE5:AE12" si="18">X5*(1+AD5)</f>
        <v>0</v>
      </c>
      <c r="AF5" s="351">
        <f t="shared" ref="AF5:AF12" si="19">Y5</f>
        <v>0.3</v>
      </c>
      <c r="AG5" s="157">
        <f t="shared" ref="AG5:AG12" si="20">AE5*AF5</f>
        <v>0</v>
      </c>
      <c r="AH5" s="157">
        <f>AG5*AC5</f>
        <v>0</v>
      </c>
      <c r="AI5" s="160">
        <f t="shared" ref="AI5:AI12" si="21">AC5*(AE5+AG5)</f>
        <v>0</v>
      </c>
    </row>
    <row r="6" spans="1:35" s="161" customFormat="1" ht="18.75" customHeight="1">
      <c r="A6" s="165" t="s">
        <v>506</v>
      </c>
      <c r="B6" s="158"/>
      <c r="C6" s="164"/>
      <c r="D6" s="351">
        <f>Inicio!$D$28</f>
        <v>0.33</v>
      </c>
      <c r="E6" s="157">
        <f t="shared" si="0"/>
        <v>0</v>
      </c>
      <c r="F6" s="157">
        <f t="shared" ref="F6:F12" si="22">E6*B6</f>
        <v>0</v>
      </c>
      <c r="G6" s="157">
        <f t="shared" si="1"/>
        <v>0</v>
      </c>
      <c r="H6" s="352">
        <f t="shared" si="2"/>
        <v>0</v>
      </c>
      <c r="I6" s="159"/>
      <c r="J6" s="157">
        <f t="shared" si="3"/>
        <v>0</v>
      </c>
      <c r="K6" s="351">
        <f t="shared" si="4"/>
        <v>0.33</v>
      </c>
      <c r="L6" s="157">
        <f t="shared" si="5"/>
        <v>0</v>
      </c>
      <c r="M6" s="157">
        <f t="shared" ref="M6:M12" si="23">L6*H6</f>
        <v>0</v>
      </c>
      <c r="N6" s="157">
        <f t="shared" si="6"/>
        <v>0</v>
      </c>
      <c r="O6" s="352">
        <f t="shared" si="7"/>
        <v>0</v>
      </c>
      <c r="P6" s="351">
        <f t="shared" si="7"/>
        <v>0</v>
      </c>
      <c r="Q6" s="157">
        <f t="shared" si="8"/>
        <v>0</v>
      </c>
      <c r="R6" s="351">
        <f t="shared" si="9"/>
        <v>0.33</v>
      </c>
      <c r="S6" s="157">
        <f t="shared" si="10"/>
        <v>0</v>
      </c>
      <c r="T6" s="157">
        <f t="shared" ref="T6:T12" si="24">S6*O6</f>
        <v>0</v>
      </c>
      <c r="U6" s="157">
        <f t="shared" si="11"/>
        <v>0</v>
      </c>
      <c r="V6" s="352">
        <f t="shared" si="12"/>
        <v>0</v>
      </c>
      <c r="W6" s="351">
        <f t="shared" si="12"/>
        <v>0</v>
      </c>
      <c r="X6" s="157">
        <f t="shared" si="13"/>
        <v>0</v>
      </c>
      <c r="Y6" s="351">
        <f t="shared" si="14"/>
        <v>0.33</v>
      </c>
      <c r="Z6" s="157">
        <f t="shared" si="15"/>
        <v>0</v>
      </c>
      <c r="AA6" s="157">
        <f t="shared" ref="AA6:AA12" si="25">Z6*V6</f>
        <v>0</v>
      </c>
      <c r="AB6" s="157">
        <f t="shared" si="16"/>
        <v>0</v>
      </c>
      <c r="AC6" s="352">
        <f t="shared" si="17"/>
        <v>0</v>
      </c>
      <c r="AD6" s="351">
        <f t="shared" si="17"/>
        <v>0</v>
      </c>
      <c r="AE6" s="157">
        <f t="shared" si="18"/>
        <v>0</v>
      </c>
      <c r="AF6" s="351">
        <f t="shared" si="19"/>
        <v>0.33</v>
      </c>
      <c r="AG6" s="157">
        <f t="shared" si="20"/>
        <v>0</v>
      </c>
      <c r="AH6" s="157">
        <f t="shared" ref="AH6:AH12" si="26">AG6*AC6</f>
        <v>0</v>
      </c>
      <c r="AI6" s="160">
        <f t="shared" si="21"/>
        <v>0</v>
      </c>
    </row>
    <row r="7" spans="1:35" s="161" customFormat="1" ht="18.75" customHeight="1">
      <c r="A7" s="165" t="s">
        <v>507</v>
      </c>
      <c r="B7" s="158"/>
      <c r="C7" s="164"/>
      <c r="D7" s="351">
        <f>Inicio!$D$28</f>
        <v>0.33</v>
      </c>
      <c r="E7" s="157">
        <f t="shared" si="0"/>
        <v>0</v>
      </c>
      <c r="F7" s="157">
        <f t="shared" si="22"/>
        <v>0</v>
      </c>
      <c r="G7" s="157">
        <f t="shared" si="1"/>
        <v>0</v>
      </c>
      <c r="H7" s="352">
        <f t="shared" si="2"/>
        <v>0</v>
      </c>
      <c r="I7" s="159"/>
      <c r="J7" s="157">
        <f t="shared" si="3"/>
        <v>0</v>
      </c>
      <c r="K7" s="351">
        <f t="shared" si="4"/>
        <v>0.33</v>
      </c>
      <c r="L7" s="157">
        <f t="shared" si="5"/>
        <v>0</v>
      </c>
      <c r="M7" s="157">
        <f t="shared" si="23"/>
        <v>0</v>
      </c>
      <c r="N7" s="157">
        <f t="shared" si="6"/>
        <v>0</v>
      </c>
      <c r="O7" s="352">
        <f t="shared" si="7"/>
        <v>0</v>
      </c>
      <c r="P7" s="351">
        <f t="shared" si="7"/>
        <v>0</v>
      </c>
      <c r="Q7" s="157">
        <f t="shared" si="8"/>
        <v>0</v>
      </c>
      <c r="R7" s="351">
        <f t="shared" si="9"/>
        <v>0.33</v>
      </c>
      <c r="S7" s="157">
        <f t="shared" si="10"/>
        <v>0</v>
      </c>
      <c r="T7" s="157">
        <f t="shared" si="24"/>
        <v>0</v>
      </c>
      <c r="U7" s="157">
        <f t="shared" si="11"/>
        <v>0</v>
      </c>
      <c r="V7" s="352">
        <f t="shared" si="12"/>
        <v>0</v>
      </c>
      <c r="W7" s="351">
        <f t="shared" si="12"/>
        <v>0</v>
      </c>
      <c r="X7" s="157">
        <f t="shared" si="13"/>
        <v>0</v>
      </c>
      <c r="Y7" s="351">
        <f t="shared" si="14"/>
        <v>0.33</v>
      </c>
      <c r="Z7" s="157">
        <f t="shared" si="15"/>
        <v>0</v>
      </c>
      <c r="AA7" s="157">
        <f t="shared" si="25"/>
        <v>0</v>
      </c>
      <c r="AB7" s="157">
        <f t="shared" si="16"/>
        <v>0</v>
      </c>
      <c r="AC7" s="352">
        <f t="shared" si="17"/>
        <v>0</v>
      </c>
      <c r="AD7" s="351">
        <f t="shared" si="17"/>
        <v>0</v>
      </c>
      <c r="AE7" s="157">
        <f t="shared" si="18"/>
        <v>0</v>
      </c>
      <c r="AF7" s="351">
        <f t="shared" si="19"/>
        <v>0.33</v>
      </c>
      <c r="AG7" s="157">
        <f t="shared" si="20"/>
        <v>0</v>
      </c>
      <c r="AH7" s="157">
        <f t="shared" si="26"/>
        <v>0</v>
      </c>
      <c r="AI7" s="160">
        <f t="shared" si="21"/>
        <v>0</v>
      </c>
    </row>
    <row r="8" spans="1:35" s="161" customFormat="1" ht="18.75" customHeight="1">
      <c r="A8" s="165" t="s">
        <v>226</v>
      </c>
      <c r="B8" s="158"/>
      <c r="C8" s="164"/>
      <c r="D8" s="351">
        <f>Inicio!$D$28</f>
        <v>0.33</v>
      </c>
      <c r="E8" s="157">
        <f t="shared" si="0"/>
        <v>0</v>
      </c>
      <c r="F8" s="157">
        <f t="shared" si="22"/>
        <v>0</v>
      </c>
      <c r="G8" s="157">
        <f t="shared" si="1"/>
        <v>0</v>
      </c>
      <c r="H8" s="352">
        <f t="shared" si="2"/>
        <v>0</v>
      </c>
      <c r="I8" s="159"/>
      <c r="J8" s="157">
        <f t="shared" si="3"/>
        <v>0</v>
      </c>
      <c r="K8" s="351">
        <f t="shared" si="4"/>
        <v>0.33</v>
      </c>
      <c r="L8" s="157">
        <f t="shared" si="5"/>
        <v>0</v>
      </c>
      <c r="M8" s="157">
        <f t="shared" si="23"/>
        <v>0</v>
      </c>
      <c r="N8" s="157">
        <f t="shared" si="6"/>
        <v>0</v>
      </c>
      <c r="O8" s="352">
        <f t="shared" si="7"/>
        <v>0</v>
      </c>
      <c r="P8" s="351">
        <f t="shared" si="7"/>
        <v>0</v>
      </c>
      <c r="Q8" s="157">
        <f t="shared" si="8"/>
        <v>0</v>
      </c>
      <c r="R8" s="351">
        <f t="shared" si="9"/>
        <v>0.33</v>
      </c>
      <c r="S8" s="157">
        <f t="shared" si="10"/>
        <v>0</v>
      </c>
      <c r="T8" s="157">
        <f t="shared" si="24"/>
        <v>0</v>
      </c>
      <c r="U8" s="157">
        <f t="shared" si="11"/>
        <v>0</v>
      </c>
      <c r="V8" s="352">
        <f t="shared" si="12"/>
        <v>0</v>
      </c>
      <c r="W8" s="351">
        <f t="shared" si="12"/>
        <v>0</v>
      </c>
      <c r="X8" s="157">
        <f t="shared" si="13"/>
        <v>0</v>
      </c>
      <c r="Y8" s="351">
        <f t="shared" si="14"/>
        <v>0.33</v>
      </c>
      <c r="Z8" s="157">
        <f t="shared" si="15"/>
        <v>0</v>
      </c>
      <c r="AA8" s="157">
        <f t="shared" si="25"/>
        <v>0</v>
      </c>
      <c r="AB8" s="157">
        <f t="shared" si="16"/>
        <v>0</v>
      </c>
      <c r="AC8" s="352">
        <f t="shared" si="17"/>
        <v>0</v>
      </c>
      <c r="AD8" s="351">
        <f t="shared" si="17"/>
        <v>0</v>
      </c>
      <c r="AE8" s="157">
        <f t="shared" si="18"/>
        <v>0</v>
      </c>
      <c r="AF8" s="351">
        <f t="shared" si="19"/>
        <v>0.33</v>
      </c>
      <c r="AG8" s="157">
        <f t="shared" si="20"/>
        <v>0</v>
      </c>
      <c r="AH8" s="157">
        <f t="shared" si="26"/>
        <v>0</v>
      </c>
      <c r="AI8" s="160">
        <f t="shared" si="21"/>
        <v>0</v>
      </c>
    </row>
    <row r="9" spans="1:35" s="161" customFormat="1" ht="18.75" customHeight="1">
      <c r="A9" s="165" t="s">
        <v>227</v>
      </c>
      <c r="B9" s="158"/>
      <c r="C9" s="164"/>
      <c r="D9" s="351">
        <f>Inicio!$D$28</f>
        <v>0.33</v>
      </c>
      <c r="E9" s="157">
        <f t="shared" si="0"/>
        <v>0</v>
      </c>
      <c r="F9" s="157">
        <f t="shared" si="22"/>
        <v>0</v>
      </c>
      <c r="G9" s="157">
        <f t="shared" si="1"/>
        <v>0</v>
      </c>
      <c r="H9" s="352">
        <f t="shared" si="2"/>
        <v>0</v>
      </c>
      <c r="I9" s="159"/>
      <c r="J9" s="157">
        <f t="shared" si="3"/>
        <v>0</v>
      </c>
      <c r="K9" s="351">
        <f t="shared" si="4"/>
        <v>0.33</v>
      </c>
      <c r="L9" s="157">
        <f t="shared" si="5"/>
        <v>0</v>
      </c>
      <c r="M9" s="157">
        <f t="shared" si="23"/>
        <v>0</v>
      </c>
      <c r="N9" s="157">
        <f t="shared" si="6"/>
        <v>0</v>
      </c>
      <c r="O9" s="352">
        <f t="shared" si="7"/>
        <v>0</v>
      </c>
      <c r="P9" s="351">
        <f t="shared" si="7"/>
        <v>0</v>
      </c>
      <c r="Q9" s="157">
        <f t="shared" si="8"/>
        <v>0</v>
      </c>
      <c r="R9" s="351">
        <f t="shared" si="9"/>
        <v>0.33</v>
      </c>
      <c r="S9" s="157">
        <f t="shared" si="10"/>
        <v>0</v>
      </c>
      <c r="T9" s="157">
        <f t="shared" si="24"/>
        <v>0</v>
      </c>
      <c r="U9" s="157">
        <f t="shared" si="11"/>
        <v>0</v>
      </c>
      <c r="V9" s="352">
        <f t="shared" si="12"/>
        <v>0</v>
      </c>
      <c r="W9" s="351">
        <f t="shared" si="12"/>
        <v>0</v>
      </c>
      <c r="X9" s="157">
        <f t="shared" si="13"/>
        <v>0</v>
      </c>
      <c r="Y9" s="351">
        <f t="shared" si="14"/>
        <v>0.33</v>
      </c>
      <c r="Z9" s="157">
        <f t="shared" si="15"/>
        <v>0</v>
      </c>
      <c r="AA9" s="157">
        <f t="shared" si="25"/>
        <v>0</v>
      </c>
      <c r="AB9" s="157">
        <f t="shared" si="16"/>
        <v>0</v>
      </c>
      <c r="AC9" s="352">
        <f t="shared" si="17"/>
        <v>0</v>
      </c>
      <c r="AD9" s="351">
        <f t="shared" si="17"/>
        <v>0</v>
      </c>
      <c r="AE9" s="157">
        <f t="shared" si="18"/>
        <v>0</v>
      </c>
      <c r="AF9" s="351">
        <f t="shared" si="19"/>
        <v>0.33</v>
      </c>
      <c r="AG9" s="157">
        <f t="shared" si="20"/>
        <v>0</v>
      </c>
      <c r="AH9" s="157">
        <f t="shared" si="26"/>
        <v>0</v>
      </c>
      <c r="AI9" s="160">
        <f t="shared" si="21"/>
        <v>0</v>
      </c>
    </row>
    <row r="10" spans="1:35" s="161" customFormat="1" ht="18.75" customHeight="1">
      <c r="A10" s="165" t="s">
        <v>228</v>
      </c>
      <c r="B10" s="158"/>
      <c r="C10" s="164"/>
      <c r="D10" s="351">
        <f>Inicio!$D$28</f>
        <v>0.33</v>
      </c>
      <c r="E10" s="157">
        <f t="shared" si="0"/>
        <v>0</v>
      </c>
      <c r="F10" s="157">
        <f t="shared" si="22"/>
        <v>0</v>
      </c>
      <c r="G10" s="157">
        <f t="shared" si="1"/>
        <v>0</v>
      </c>
      <c r="H10" s="352">
        <f t="shared" si="2"/>
        <v>0</v>
      </c>
      <c r="I10" s="159"/>
      <c r="J10" s="157">
        <f t="shared" si="3"/>
        <v>0</v>
      </c>
      <c r="K10" s="351">
        <f t="shared" si="4"/>
        <v>0.33</v>
      </c>
      <c r="L10" s="157">
        <f t="shared" si="5"/>
        <v>0</v>
      </c>
      <c r="M10" s="157">
        <f t="shared" si="23"/>
        <v>0</v>
      </c>
      <c r="N10" s="157">
        <f t="shared" si="6"/>
        <v>0</v>
      </c>
      <c r="O10" s="352">
        <f t="shared" si="7"/>
        <v>0</v>
      </c>
      <c r="P10" s="351">
        <f t="shared" si="7"/>
        <v>0</v>
      </c>
      <c r="Q10" s="157">
        <f t="shared" si="8"/>
        <v>0</v>
      </c>
      <c r="R10" s="351">
        <f t="shared" si="9"/>
        <v>0.33</v>
      </c>
      <c r="S10" s="157">
        <f t="shared" si="10"/>
        <v>0</v>
      </c>
      <c r="T10" s="157">
        <f t="shared" si="24"/>
        <v>0</v>
      </c>
      <c r="U10" s="157">
        <f t="shared" si="11"/>
        <v>0</v>
      </c>
      <c r="V10" s="352">
        <f t="shared" si="12"/>
        <v>0</v>
      </c>
      <c r="W10" s="351">
        <f t="shared" si="12"/>
        <v>0</v>
      </c>
      <c r="X10" s="157">
        <f t="shared" si="13"/>
        <v>0</v>
      </c>
      <c r="Y10" s="351">
        <f t="shared" si="14"/>
        <v>0.33</v>
      </c>
      <c r="Z10" s="157">
        <f t="shared" si="15"/>
        <v>0</v>
      </c>
      <c r="AA10" s="157">
        <f t="shared" si="25"/>
        <v>0</v>
      </c>
      <c r="AB10" s="157">
        <f t="shared" si="16"/>
        <v>0</v>
      </c>
      <c r="AC10" s="352">
        <f t="shared" si="17"/>
        <v>0</v>
      </c>
      <c r="AD10" s="351">
        <f t="shared" si="17"/>
        <v>0</v>
      </c>
      <c r="AE10" s="157">
        <f t="shared" si="18"/>
        <v>0</v>
      </c>
      <c r="AF10" s="351">
        <f t="shared" si="19"/>
        <v>0.33</v>
      </c>
      <c r="AG10" s="157">
        <f t="shared" si="20"/>
        <v>0</v>
      </c>
      <c r="AH10" s="157">
        <f t="shared" si="26"/>
        <v>0</v>
      </c>
      <c r="AI10" s="160">
        <f t="shared" si="21"/>
        <v>0</v>
      </c>
    </row>
    <row r="11" spans="1:35" s="161" customFormat="1" ht="18.75" customHeight="1">
      <c r="A11" s="165" t="s">
        <v>229</v>
      </c>
      <c r="B11" s="158"/>
      <c r="C11" s="164"/>
      <c r="D11" s="351">
        <f>Inicio!$D$28</f>
        <v>0.33</v>
      </c>
      <c r="E11" s="157">
        <f t="shared" si="0"/>
        <v>0</v>
      </c>
      <c r="F11" s="157">
        <f t="shared" si="22"/>
        <v>0</v>
      </c>
      <c r="G11" s="157">
        <f t="shared" si="1"/>
        <v>0</v>
      </c>
      <c r="H11" s="352">
        <f t="shared" si="2"/>
        <v>0</v>
      </c>
      <c r="I11" s="159"/>
      <c r="J11" s="157">
        <f t="shared" si="3"/>
        <v>0</v>
      </c>
      <c r="K11" s="351">
        <f t="shared" si="4"/>
        <v>0.33</v>
      </c>
      <c r="L11" s="157">
        <f t="shared" si="5"/>
        <v>0</v>
      </c>
      <c r="M11" s="157">
        <f t="shared" si="23"/>
        <v>0</v>
      </c>
      <c r="N11" s="157">
        <f t="shared" si="6"/>
        <v>0</v>
      </c>
      <c r="O11" s="352">
        <f t="shared" si="7"/>
        <v>0</v>
      </c>
      <c r="P11" s="351">
        <f t="shared" si="7"/>
        <v>0</v>
      </c>
      <c r="Q11" s="157">
        <f t="shared" si="8"/>
        <v>0</v>
      </c>
      <c r="R11" s="351">
        <f t="shared" si="9"/>
        <v>0.33</v>
      </c>
      <c r="S11" s="157">
        <f t="shared" si="10"/>
        <v>0</v>
      </c>
      <c r="T11" s="157">
        <f t="shared" si="24"/>
        <v>0</v>
      </c>
      <c r="U11" s="157">
        <f t="shared" si="11"/>
        <v>0</v>
      </c>
      <c r="V11" s="352">
        <f t="shared" si="12"/>
        <v>0</v>
      </c>
      <c r="W11" s="351">
        <f t="shared" si="12"/>
        <v>0</v>
      </c>
      <c r="X11" s="157">
        <f t="shared" si="13"/>
        <v>0</v>
      </c>
      <c r="Y11" s="351">
        <f t="shared" si="14"/>
        <v>0.33</v>
      </c>
      <c r="Z11" s="157">
        <f t="shared" si="15"/>
        <v>0</v>
      </c>
      <c r="AA11" s="157">
        <f t="shared" si="25"/>
        <v>0</v>
      </c>
      <c r="AB11" s="157">
        <f t="shared" si="16"/>
        <v>0</v>
      </c>
      <c r="AC11" s="352">
        <f t="shared" si="17"/>
        <v>0</v>
      </c>
      <c r="AD11" s="351">
        <f t="shared" si="17"/>
        <v>0</v>
      </c>
      <c r="AE11" s="157">
        <f t="shared" si="18"/>
        <v>0</v>
      </c>
      <c r="AF11" s="351">
        <f t="shared" si="19"/>
        <v>0.33</v>
      </c>
      <c r="AG11" s="157">
        <f t="shared" si="20"/>
        <v>0</v>
      </c>
      <c r="AH11" s="157">
        <f t="shared" si="26"/>
        <v>0</v>
      </c>
      <c r="AI11" s="160">
        <f t="shared" si="21"/>
        <v>0</v>
      </c>
    </row>
    <row r="12" spans="1:35" s="161" customFormat="1" ht="18.75" customHeight="1" thickBot="1">
      <c r="A12" s="166" t="s">
        <v>230</v>
      </c>
      <c r="B12" s="158"/>
      <c r="C12" s="164"/>
      <c r="D12" s="351">
        <f>Inicio!$D$28</f>
        <v>0.33</v>
      </c>
      <c r="E12" s="162">
        <f t="shared" si="0"/>
        <v>0</v>
      </c>
      <c r="F12" s="157">
        <f t="shared" si="22"/>
        <v>0</v>
      </c>
      <c r="G12" s="162">
        <f t="shared" si="1"/>
        <v>0</v>
      </c>
      <c r="H12" s="353">
        <f t="shared" si="2"/>
        <v>0</v>
      </c>
      <c r="I12" s="159"/>
      <c r="J12" s="162">
        <f t="shared" si="3"/>
        <v>0</v>
      </c>
      <c r="K12" s="354">
        <f t="shared" si="4"/>
        <v>0.33</v>
      </c>
      <c r="L12" s="162">
        <f t="shared" si="5"/>
        <v>0</v>
      </c>
      <c r="M12" s="157">
        <f t="shared" si="23"/>
        <v>0</v>
      </c>
      <c r="N12" s="162">
        <f t="shared" si="6"/>
        <v>0</v>
      </c>
      <c r="O12" s="353">
        <f t="shared" si="7"/>
        <v>0</v>
      </c>
      <c r="P12" s="354">
        <f t="shared" si="7"/>
        <v>0</v>
      </c>
      <c r="Q12" s="162">
        <f t="shared" si="8"/>
        <v>0</v>
      </c>
      <c r="R12" s="354">
        <f t="shared" si="9"/>
        <v>0.33</v>
      </c>
      <c r="S12" s="162">
        <f t="shared" si="10"/>
        <v>0</v>
      </c>
      <c r="T12" s="157">
        <f t="shared" si="24"/>
        <v>0</v>
      </c>
      <c r="U12" s="162">
        <f t="shared" si="11"/>
        <v>0</v>
      </c>
      <c r="V12" s="353">
        <f t="shared" si="12"/>
        <v>0</v>
      </c>
      <c r="W12" s="354">
        <f t="shared" si="12"/>
        <v>0</v>
      </c>
      <c r="X12" s="162">
        <f t="shared" si="13"/>
        <v>0</v>
      </c>
      <c r="Y12" s="354">
        <f t="shared" si="14"/>
        <v>0.33</v>
      </c>
      <c r="Z12" s="162">
        <f t="shared" si="15"/>
        <v>0</v>
      </c>
      <c r="AA12" s="157">
        <f t="shared" si="25"/>
        <v>0</v>
      </c>
      <c r="AB12" s="162">
        <f t="shared" si="16"/>
        <v>0</v>
      </c>
      <c r="AC12" s="353">
        <f t="shared" si="17"/>
        <v>0</v>
      </c>
      <c r="AD12" s="354">
        <f t="shared" si="17"/>
        <v>0</v>
      </c>
      <c r="AE12" s="162">
        <f t="shared" si="18"/>
        <v>0</v>
      </c>
      <c r="AF12" s="354">
        <f t="shared" si="19"/>
        <v>0.33</v>
      </c>
      <c r="AG12" s="162">
        <f t="shared" si="20"/>
        <v>0</v>
      </c>
      <c r="AH12" s="157">
        <f t="shared" si="26"/>
        <v>0</v>
      </c>
      <c r="AI12" s="163">
        <f t="shared" si="21"/>
        <v>0</v>
      </c>
    </row>
    <row r="13" spans="1:35" s="239" customFormat="1" ht="29.25" customHeight="1" thickBot="1">
      <c r="A13" s="356" t="s">
        <v>33</v>
      </c>
      <c r="B13" s="406">
        <f>SUM(B5:B12)</f>
        <v>0</v>
      </c>
      <c r="C13" s="357"/>
      <c r="D13" s="357"/>
      <c r="E13" s="357"/>
      <c r="F13" s="357">
        <f>SUM(F5:F12)</f>
        <v>0</v>
      </c>
      <c r="G13" s="357">
        <f>SUM(G5:G12)</f>
        <v>0</v>
      </c>
      <c r="H13" s="406">
        <f>SUM(H5:H12)</f>
        <v>0</v>
      </c>
      <c r="I13" s="357"/>
      <c r="J13" s="357"/>
      <c r="K13" s="357"/>
      <c r="L13" s="357"/>
      <c r="M13" s="357">
        <f>SUM(M5:M12)</f>
        <v>0</v>
      </c>
      <c r="N13" s="357">
        <f>SUM(N5:N12)</f>
        <v>0</v>
      </c>
      <c r="O13" s="406">
        <f>SUM(O5:O12)</f>
        <v>0</v>
      </c>
      <c r="P13" s="357"/>
      <c r="Q13" s="357"/>
      <c r="R13" s="357"/>
      <c r="S13" s="357"/>
      <c r="T13" s="357">
        <f>SUM(T5:T12)</f>
        <v>0</v>
      </c>
      <c r="U13" s="357">
        <f>SUM(U5:U12)</f>
        <v>0</v>
      </c>
      <c r="V13" s="406">
        <f>SUM(V5:V12)</f>
        <v>0</v>
      </c>
      <c r="W13" s="357"/>
      <c r="X13" s="357"/>
      <c r="Y13" s="357"/>
      <c r="Z13" s="357"/>
      <c r="AA13" s="357">
        <f>SUM(AA5:AA12)</f>
        <v>0</v>
      </c>
      <c r="AB13" s="357">
        <f>SUM(AB5:AB12)</f>
        <v>0</v>
      </c>
      <c r="AC13" s="406">
        <f>SUM(AC5:AC12)</f>
        <v>0</v>
      </c>
      <c r="AD13" s="357"/>
      <c r="AE13" s="357"/>
      <c r="AF13" s="357"/>
      <c r="AG13" s="357"/>
      <c r="AH13" s="357">
        <f>SUM(AH5:AH12)</f>
        <v>0</v>
      </c>
      <c r="AI13" s="420">
        <f>SUM(AI5:AI12)</f>
        <v>0</v>
      </c>
    </row>
    <row r="14" spans="1:35" ht="29.25" customHeight="1"/>
    <row r="15" spans="1:35" ht="29.25" customHeight="1"/>
    <row r="16" spans="1:35" ht="29.25" customHeight="1"/>
    <row r="17" ht="29.25" customHeight="1"/>
    <row r="18" ht="29.25" customHeight="1"/>
    <row r="19" ht="29.25" customHeight="1"/>
  </sheetData>
  <sheetProtection password="A6E9" sheet="1" formatColumns="0"/>
  <mergeCells count="5">
    <mergeCell ref="O3:U3"/>
    <mergeCell ref="V3:AB3"/>
    <mergeCell ref="AC3:AI3"/>
    <mergeCell ref="B3:G3"/>
    <mergeCell ref="H3:N3"/>
  </mergeCells>
  <phoneticPr fontId="47" type="noConversion"/>
  <printOptions horizontalCentered="1"/>
  <pageMargins left="0.59055118110236227" right="0.59055118110236227" top="1.299212598425197" bottom="0.74803149606299213" header="0.62992125984251968" footer="0.31496062992125984"/>
  <pageSetup paperSize="9" scale="41" orientation="landscape" r:id="rId1"/>
  <headerFooter>
    <oddHeader>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2" r:id="rId4" name="Button 2">
              <controlPr defaultSize="0" print="0" autoFill="0" autoPict="0" macro="[0]!Inicio">
                <anchor moveWithCells="1" sizeWithCells="1">
                  <from>
                    <xdr:col>0</xdr:col>
                    <xdr:colOff>276225</xdr:colOff>
                    <xdr:row>0</xdr:row>
                    <xdr:rowOff>57150</xdr:rowOff>
                  </from>
                  <to>
                    <xdr:col>0</xdr:col>
                    <xdr:colOff>1466850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W70"/>
  <sheetViews>
    <sheetView showGridLines="0" showZeros="0" zoomScale="89" zoomScaleNormal="89" workbookViewId="0">
      <selection activeCell="B6" sqref="B6"/>
    </sheetView>
  </sheetViews>
  <sheetFormatPr baseColWidth="10" defaultColWidth="0" defaultRowHeight="16.5"/>
  <cols>
    <col min="1" max="1" width="38.75" style="8" customWidth="1"/>
    <col min="2" max="2" width="12.875" style="13" customWidth="1"/>
    <col min="3" max="10" width="11.875" style="13" customWidth="1"/>
    <col min="11" max="11" width="14.5" style="8" customWidth="1"/>
    <col min="12" max="205" width="14.5" style="8" hidden="1" customWidth="1"/>
    <col min="206" max="16384" width="0" style="8" hidden="1"/>
  </cols>
  <sheetData>
    <row r="1" spans="1:10" ht="39.75" customHeight="1" thickBot="1"/>
    <row r="2" spans="1:10" s="196" customFormat="1" ht="36" customHeight="1" thickBot="1">
      <c r="A2" s="1020" t="s">
        <v>35</v>
      </c>
      <c r="B2" s="1021"/>
      <c r="C2" s="1021"/>
      <c r="D2" s="1021"/>
      <c r="E2" s="1021"/>
      <c r="F2" s="1021"/>
      <c r="G2" s="1021"/>
      <c r="H2" s="1021"/>
      <c r="I2" s="1021"/>
      <c r="J2" s="1022"/>
    </row>
    <row r="3" spans="1:10" s="198" customFormat="1" ht="33" customHeight="1">
      <c r="A3" s="197" t="s">
        <v>213</v>
      </c>
      <c r="B3" s="600" t="s">
        <v>60</v>
      </c>
      <c r="C3" s="1026" t="s">
        <v>61</v>
      </c>
      <c r="D3" s="1027"/>
      <c r="E3" s="1026" t="s">
        <v>62</v>
      </c>
      <c r="F3" s="1027"/>
      <c r="G3" s="1026" t="s">
        <v>176</v>
      </c>
      <c r="H3" s="1027"/>
      <c r="I3" s="1026" t="s">
        <v>177</v>
      </c>
      <c r="J3" s="1028"/>
    </row>
    <row r="4" spans="1:10" s="198" customFormat="1" ht="33" customHeight="1" thickBot="1">
      <c r="A4" s="199"/>
      <c r="B4" s="826" t="s">
        <v>313</v>
      </c>
      <c r="C4" s="826" t="s">
        <v>314</v>
      </c>
      <c r="D4" s="827" t="s">
        <v>313</v>
      </c>
      <c r="E4" s="826" t="s">
        <v>314</v>
      </c>
      <c r="F4" s="827" t="s">
        <v>313</v>
      </c>
      <c r="G4" s="826" t="s">
        <v>314</v>
      </c>
      <c r="H4" s="827" t="s">
        <v>313</v>
      </c>
      <c r="I4" s="826" t="s">
        <v>314</v>
      </c>
      <c r="J4" s="828" t="s">
        <v>313</v>
      </c>
    </row>
    <row r="5" spans="1:10" s="146" customFormat="1" ht="18" customHeight="1">
      <c r="A5" s="626" t="s">
        <v>164</v>
      </c>
      <c r="B5" s="829">
        <f>SUM(B6:B16)</f>
        <v>0</v>
      </c>
      <c r="C5" s="830"/>
      <c r="D5" s="831">
        <f>SUM(D7:D16)</f>
        <v>0</v>
      </c>
      <c r="E5" s="830"/>
      <c r="F5" s="831">
        <f>SUM(F7:F16)</f>
        <v>0</v>
      </c>
      <c r="G5" s="830"/>
      <c r="H5" s="831">
        <f>SUM(H7:H16)</f>
        <v>0</v>
      </c>
      <c r="I5" s="830"/>
      <c r="J5" s="832">
        <f>SUM(J7:J16)</f>
        <v>0</v>
      </c>
    </row>
    <row r="6" spans="1:10" s="146" customFormat="1" ht="15" customHeight="1">
      <c r="A6" s="480" t="s">
        <v>315</v>
      </c>
      <c r="B6" s="833"/>
      <c r="C6" s="834"/>
      <c r="D6" s="835"/>
      <c r="E6" s="834"/>
      <c r="F6" s="835"/>
      <c r="G6" s="834"/>
      <c r="H6" s="835"/>
      <c r="I6" s="834"/>
      <c r="J6" s="836"/>
    </row>
    <row r="7" spans="1:10" s="146" customFormat="1" ht="15" customHeight="1">
      <c r="A7" s="358" t="s">
        <v>156</v>
      </c>
      <c r="B7" s="833"/>
      <c r="C7" s="837"/>
      <c r="D7" s="838">
        <f>B7*(1+C7)</f>
        <v>0</v>
      </c>
      <c r="E7" s="839">
        <f>C7</f>
        <v>0</v>
      </c>
      <c r="F7" s="838">
        <f>D7*(1+E7)</f>
        <v>0</v>
      </c>
      <c r="G7" s="839">
        <f>E7</f>
        <v>0</v>
      </c>
      <c r="H7" s="838">
        <f>F7*(1+G7)</f>
        <v>0</v>
      </c>
      <c r="I7" s="839">
        <f>G7</f>
        <v>0</v>
      </c>
      <c r="J7" s="840">
        <f>H7*(1+I7)</f>
        <v>0</v>
      </c>
    </row>
    <row r="8" spans="1:10" s="146" customFormat="1" ht="15" customHeight="1">
      <c r="A8" s="358" t="s">
        <v>157</v>
      </c>
      <c r="B8" s="833"/>
      <c r="C8" s="837"/>
      <c r="D8" s="838">
        <f t="shared" ref="D8:D16" si="0">B8*(1+C8)</f>
        <v>0</v>
      </c>
      <c r="E8" s="839">
        <f t="shared" ref="E8:E14" si="1">C8</f>
        <v>0</v>
      </c>
      <c r="F8" s="838">
        <f t="shared" ref="F8:F16" si="2">D8*(1+E8)</f>
        <v>0</v>
      </c>
      <c r="G8" s="839">
        <f t="shared" ref="G8:G16" si="3">E8</f>
        <v>0</v>
      </c>
      <c r="H8" s="838">
        <f t="shared" ref="H8:H16" si="4">F8*(1+G8)</f>
        <v>0</v>
      </c>
      <c r="I8" s="839">
        <f t="shared" ref="I8:I16" si="5">G8</f>
        <v>0</v>
      </c>
      <c r="J8" s="840">
        <f t="shared" ref="J8:J16" si="6">H8*(1+I8)</f>
        <v>0</v>
      </c>
    </row>
    <row r="9" spans="1:10" s="146" customFormat="1" ht="15" customHeight="1">
      <c r="A9" s="480" t="s">
        <v>158</v>
      </c>
      <c r="B9" s="833"/>
      <c r="C9" s="837"/>
      <c r="D9" s="838">
        <f t="shared" si="0"/>
        <v>0</v>
      </c>
      <c r="E9" s="839">
        <f t="shared" si="1"/>
        <v>0</v>
      </c>
      <c r="F9" s="838">
        <f t="shared" si="2"/>
        <v>0</v>
      </c>
      <c r="G9" s="839">
        <f t="shared" si="3"/>
        <v>0</v>
      </c>
      <c r="H9" s="838">
        <f t="shared" si="4"/>
        <v>0</v>
      </c>
      <c r="I9" s="839">
        <f t="shared" si="5"/>
        <v>0</v>
      </c>
      <c r="J9" s="840">
        <f t="shared" si="6"/>
        <v>0</v>
      </c>
    </row>
    <row r="10" spans="1:10" s="146" customFormat="1" ht="15" customHeight="1">
      <c r="A10" s="358" t="s">
        <v>159</v>
      </c>
      <c r="B10" s="833"/>
      <c r="C10" s="837"/>
      <c r="D10" s="838">
        <f t="shared" si="0"/>
        <v>0</v>
      </c>
      <c r="E10" s="839">
        <f t="shared" si="1"/>
        <v>0</v>
      </c>
      <c r="F10" s="838">
        <f t="shared" si="2"/>
        <v>0</v>
      </c>
      <c r="G10" s="839">
        <f t="shared" si="3"/>
        <v>0</v>
      </c>
      <c r="H10" s="838">
        <f t="shared" si="4"/>
        <v>0</v>
      </c>
      <c r="I10" s="839">
        <f t="shared" si="5"/>
        <v>0</v>
      </c>
      <c r="J10" s="840">
        <f t="shared" si="6"/>
        <v>0</v>
      </c>
    </row>
    <row r="11" spans="1:10" s="146" customFormat="1" ht="15" customHeight="1">
      <c r="A11" s="358" t="s">
        <v>160</v>
      </c>
      <c r="B11" s="833"/>
      <c r="C11" s="837"/>
      <c r="D11" s="838">
        <f t="shared" si="0"/>
        <v>0</v>
      </c>
      <c r="E11" s="839">
        <f t="shared" si="1"/>
        <v>0</v>
      </c>
      <c r="F11" s="838">
        <f t="shared" si="2"/>
        <v>0</v>
      </c>
      <c r="G11" s="839">
        <f t="shared" si="3"/>
        <v>0</v>
      </c>
      <c r="H11" s="838">
        <f t="shared" si="4"/>
        <v>0</v>
      </c>
      <c r="I11" s="839">
        <f t="shared" si="5"/>
        <v>0</v>
      </c>
      <c r="J11" s="840">
        <f t="shared" si="6"/>
        <v>0</v>
      </c>
    </row>
    <row r="12" spans="1:10" s="146" customFormat="1" ht="15">
      <c r="A12" s="358" t="s">
        <v>161</v>
      </c>
      <c r="B12" s="833"/>
      <c r="C12" s="837"/>
      <c r="D12" s="838">
        <f t="shared" si="0"/>
        <v>0</v>
      </c>
      <c r="E12" s="839">
        <f t="shared" si="1"/>
        <v>0</v>
      </c>
      <c r="F12" s="838">
        <f t="shared" si="2"/>
        <v>0</v>
      </c>
      <c r="G12" s="839">
        <f t="shared" si="3"/>
        <v>0</v>
      </c>
      <c r="H12" s="838">
        <f t="shared" si="4"/>
        <v>0</v>
      </c>
      <c r="I12" s="839">
        <f t="shared" si="5"/>
        <v>0</v>
      </c>
      <c r="J12" s="840">
        <f t="shared" si="6"/>
        <v>0</v>
      </c>
    </row>
    <row r="13" spans="1:10" s="146" customFormat="1" ht="15">
      <c r="A13" s="358" t="s">
        <v>162</v>
      </c>
      <c r="B13" s="833"/>
      <c r="C13" s="837"/>
      <c r="D13" s="838">
        <f t="shared" si="0"/>
        <v>0</v>
      </c>
      <c r="E13" s="839">
        <f t="shared" si="1"/>
        <v>0</v>
      </c>
      <c r="F13" s="838">
        <f t="shared" si="2"/>
        <v>0</v>
      </c>
      <c r="G13" s="839">
        <f t="shared" si="3"/>
        <v>0</v>
      </c>
      <c r="H13" s="838">
        <f t="shared" si="4"/>
        <v>0</v>
      </c>
      <c r="I13" s="839">
        <f t="shared" si="5"/>
        <v>0</v>
      </c>
      <c r="J13" s="840">
        <f t="shared" si="6"/>
        <v>0</v>
      </c>
    </row>
    <row r="14" spans="1:10" s="146" customFormat="1" ht="15">
      <c r="A14" s="481" t="s">
        <v>163</v>
      </c>
      <c r="B14" s="833"/>
      <c r="C14" s="837"/>
      <c r="D14" s="838">
        <f t="shared" si="0"/>
        <v>0</v>
      </c>
      <c r="E14" s="839">
        <f t="shared" si="1"/>
        <v>0</v>
      </c>
      <c r="F14" s="838">
        <f t="shared" si="2"/>
        <v>0</v>
      </c>
      <c r="G14" s="839">
        <f t="shared" si="3"/>
        <v>0</v>
      </c>
      <c r="H14" s="838">
        <f t="shared" si="4"/>
        <v>0</v>
      </c>
      <c r="I14" s="839">
        <f t="shared" si="5"/>
        <v>0</v>
      </c>
      <c r="J14" s="840">
        <f t="shared" si="6"/>
        <v>0</v>
      </c>
    </row>
    <row r="15" spans="1:10" s="146" customFormat="1" ht="15">
      <c r="A15" s="481" t="s">
        <v>316</v>
      </c>
      <c r="B15" s="841">
        <f>'Financiación a lp'!$C$20*'Financiación a lp'!$C$16+'Financiación a lp'!$C$27*'Financiación a lp'!$C$23</f>
        <v>0</v>
      </c>
      <c r="C15" s="842"/>
      <c r="D15" s="835">
        <f>'Financiación a lp'!$E$20*'Financiación a lp'!$E$16+'Financiación a lp'!$E$27*'Financiación a lp'!$E$23</f>
        <v>0</v>
      </c>
      <c r="E15" s="842"/>
      <c r="F15" s="835">
        <f>'Financiación a lp'!$F$20*'Financiación a lp'!$F$16+'Financiación a lp'!$F$27*'Financiación a lp'!$F$23</f>
        <v>0</v>
      </c>
      <c r="G15" s="842"/>
      <c r="H15" s="835">
        <f>'Financiación a lp'!$G$20*'Financiación a lp'!$G$16+'Financiación a lp'!$G$27*'Financiación a lp'!$G$23</f>
        <v>0</v>
      </c>
      <c r="I15" s="842"/>
      <c r="J15" s="836">
        <f>'Financiación a lp'!$H$20*'Financiación a lp'!$H$16+'Financiación a lp'!$H$27*'Financiación a lp'!$H$23</f>
        <v>0</v>
      </c>
    </row>
    <row r="16" spans="1:10" s="149" customFormat="1" ht="15">
      <c r="A16" s="358" t="s">
        <v>119</v>
      </c>
      <c r="B16" s="843"/>
      <c r="C16" s="837"/>
      <c r="D16" s="838">
        <f t="shared" si="0"/>
        <v>0</v>
      </c>
      <c r="E16" s="839">
        <f>C16</f>
        <v>0</v>
      </c>
      <c r="F16" s="838">
        <f t="shared" si="2"/>
        <v>0</v>
      </c>
      <c r="G16" s="839">
        <f t="shared" si="3"/>
        <v>0</v>
      </c>
      <c r="H16" s="838">
        <f t="shared" si="4"/>
        <v>0</v>
      </c>
      <c r="I16" s="839">
        <f t="shared" si="5"/>
        <v>0</v>
      </c>
      <c r="J16" s="840">
        <f t="shared" si="6"/>
        <v>0</v>
      </c>
    </row>
    <row r="17" spans="1:10" s="150" customFormat="1" ht="18" customHeight="1">
      <c r="A17" s="622" t="s">
        <v>37</v>
      </c>
      <c r="B17" s="844">
        <f>'G. Personal'!G13</f>
        <v>0</v>
      </c>
      <c r="C17" s="844"/>
      <c r="D17" s="845">
        <f>'G. Personal'!N13</f>
        <v>0</v>
      </c>
      <c r="E17" s="844"/>
      <c r="F17" s="845">
        <f>'G. Personal'!U13</f>
        <v>0</v>
      </c>
      <c r="G17" s="844"/>
      <c r="H17" s="845">
        <f>'G. Personal'!AB13</f>
        <v>0</v>
      </c>
      <c r="I17" s="844"/>
      <c r="J17" s="846">
        <f>'G. Personal'!AI13</f>
        <v>0</v>
      </c>
    </row>
    <row r="18" spans="1:10" s="146" customFormat="1" ht="18" customHeight="1">
      <c r="A18" s="623" t="s">
        <v>36</v>
      </c>
      <c r="B18" s="847">
        <f>SUM(B19:B20)</f>
        <v>0</v>
      </c>
      <c r="C18" s="847"/>
      <c r="D18" s="848">
        <f>SUM(D19:D20)</f>
        <v>0</v>
      </c>
      <c r="E18" s="847"/>
      <c r="F18" s="848">
        <f>SUM(F19:F20)</f>
        <v>0</v>
      </c>
      <c r="G18" s="847"/>
      <c r="H18" s="848">
        <f>SUM(H19:H20)</f>
        <v>0</v>
      </c>
      <c r="I18" s="847"/>
      <c r="J18" s="849">
        <f>SUM(J19:J20)</f>
        <v>0</v>
      </c>
    </row>
    <row r="19" spans="1:10" s="150" customFormat="1" ht="15">
      <c r="A19" s="358" t="s">
        <v>454</v>
      </c>
      <c r="B19" s="841">
        <f>Inversiones!K6</f>
        <v>0</v>
      </c>
      <c r="C19" s="841"/>
      <c r="D19" s="838">
        <f>Inversiones!N6</f>
        <v>0</v>
      </c>
      <c r="E19" s="841"/>
      <c r="F19" s="838">
        <f>Inversiones!Q6</f>
        <v>0</v>
      </c>
      <c r="G19" s="841"/>
      <c r="H19" s="838">
        <f>Inversiones!T6</f>
        <v>0</v>
      </c>
      <c r="I19" s="841"/>
      <c r="J19" s="840">
        <f>Inversiones!W6</f>
        <v>0</v>
      </c>
    </row>
    <row r="20" spans="1:10" s="150" customFormat="1" ht="15">
      <c r="A20" s="358" t="s">
        <v>455</v>
      </c>
      <c r="B20" s="841">
        <f>Inversiones!K10</f>
        <v>0</v>
      </c>
      <c r="C20" s="841"/>
      <c r="D20" s="838">
        <f>Inversiones!N10</f>
        <v>0</v>
      </c>
      <c r="E20" s="841"/>
      <c r="F20" s="838">
        <f>Inversiones!Q10</f>
        <v>0</v>
      </c>
      <c r="G20" s="841"/>
      <c r="H20" s="838">
        <f>Inversiones!T10</f>
        <v>0</v>
      </c>
      <c r="I20" s="841"/>
      <c r="J20" s="840">
        <f>Inversiones!W10</f>
        <v>0</v>
      </c>
    </row>
    <row r="21" spans="1:10" s="146" customFormat="1" ht="18" customHeight="1">
      <c r="A21" s="622" t="s">
        <v>38</v>
      </c>
      <c r="B21" s="850">
        <f>SUM(B22:B23)</f>
        <v>0</v>
      </c>
      <c r="C21" s="844"/>
      <c r="D21" s="851">
        <f>SUM(D22:D23)</f>
        <v>0</v>
      </c>
      <c r="E21" s="844"/>
      <c r="F21" s="851">
        <f>SUM(F22:F23)</f>
        <v>0</v>
      </c>
      <c r="G21" s="844"/>
      <c r="H21" s="851">
        <f>SUM(H22:H23)</f>
        <v>0</v>
      </c>
      <c r="I21" s="844"/>
      <c r="J21" s="852">
        <f>SUM(J22:J23)</f>
        <v>0</v>
      </c>
    </row>
    <row r="22" spans="1:10" s="146" customFormat="1" ht="18" customHeight="1">
      <c r="A22" s="536" t="s">
        <v>406</v>
      </c>
      <c r="B22" s="853">
        <f>'Financiación a lp'!B163</f>
        <v>0</v>
      </c>
      <c r="C22" s="853"/>
      <c r="D22" s="854">
        <f>'Financiación a lp'!B168</f>
        <v>0</v>
      </c>
      <c r="E22" s="853"/>
      <c r="F22" s="854">
        <f>'Financiación a lp'!B173</f>
        <v>0</v>
      </c>
      <c r="G22" s="853"/>
      <c r="H22" s="854">
        <f>'Financiación a lp'!B178</f>
        <v>0</v>
      </c>
      <c r="I22" s="853"/>
      <c r="J22" s="855">
        <f>'Financiación a lp'!B183</f>
        <v>0</v>
      </c>
    </row>
    <row r="23" spans="1:10" s="146" customFormat="1" ht="18" customHeight="1">
      <c r="A23" s="537" t="s">
        <v>453</v>
      </c>
      <c r="B23" s="856"/>
      <c r="C23" s="857"/>
      <c r="D23" s="858"/>
      <c r="E23" s="857"/>
      <c r="F23" s="858"/>
      <c r="G23" s="857"/>
      <c r="H23" s="858"/>
      <c r="I23" s="857"/>
      <c r="J23" s="859"/>
    </row>
    <row r="24" spans="1:10" ht="17.25" thickBot="1">
      <c r="A24" s="482" t="s">
        <v>1</v>
      </c>
      <c r="B24" s="860">
        <f>B5+B17+B18+B21</f>
        <v>0</v>
      </c>
      <c r="C24" s="860"/>
      <c r="D24" s="861">
        <f>D5+D17+D18+D21</f>
        <v>0</v>
      </c>
      <c r="E24" s="860"/>
      <c r="F24" s="861">
        <f>F5+F17+F18+F21</f>
        <v>0</v>
      </c>
      <c r="G24" s="860"/>
      <c r="H24" s="861">
        <f>H5+H17+H18+H21</f>
        <v>0</v>
      </c>
      <c r="I24" s="860"/>
      <c r="J24" s="862">
        <f>J5+J17+J18+J21</f>
        <v>0</v>
      </c>
    </row>
    <row r="25" spans="1:10" ht="8.25" customHeight="1" thickBot="1">
      <c r="A25" s="195"/>
      <c r="B25" s="195"/>
      <c r="C25" s="195"/>
      <c r="D25" s="863"/>
      <c r="E25" s="195"/>
      <c r="F25" s="863"/>
      <c r="G25" s="195"/>
      <c r="H25" s="863"/>
      <c r="I25" s="195"/>
      <c r="J25" s="863"/>
    </row>
    <row r="26" spans="1:10" ht="25.5" customHeight="1" thickBot="1">
      <c r="A26" s="483" t="s">
        <v>214</v>
      </c>
      <c r="B26" s="599" t="s">
        <v>60</v>
      </c>
      <c r="C26" s="1023" t="s">
        <v>61</v>
      </c>
      <c r="D26" s="1024"/>
      <c r="E26" s="1023" t="s">
        <v>62</v>
      </c>
      <c r="F26" s="1024"/>
      <c r="G26" s="1023" t="s">
        <v>176</v>
      </c>
      <c r="H26" s="1024"/>
      <c r="I26" s="1023" t="s">
        <v>177</v>
      </c>
      <c r="J26" s="1025"/>
    </row>
    <row r="27" spans="1:10" s="146" customFormat="1" ht="18" customHeight="1">
      <c r="A27" s="624" t="s">
        <v>215</v>
      </c>
      <c r="B27" s="847">
        <f>SUM(B28:B32)</f>
        <v>0</v>
      </c>
      <c r="C27" s="847"/>
      <c r="D27" s="864">
        <f>SUM(D28:D32)</f>
        <v>0</v>
      </c>
      <c r="E27" s="865"/>
      <c r="F27" s="864">
        <f>SUM(F28:F32)</f>
        <v>0</v>
      </c>
      <c r="G27" s="847"/>
      <c r="H27" s="864">
        <f>SUM(H28:H32)</f>
        <v>0</v>
      </c>
      <c r="I27" s="865"/>
      <c r="J27" s="866">
        <f>SUM(J28:J32)</f>
        <v>0</v>
      </c>
    </row>
    <row r="28" spans="1:10" s="146" customFormat="1" ht="15">
      <c r="A28" s="358">
        <f>'G. Variables'!A55</f>
        <v>0</v>
      </c>
      <c r="B28" s="841">
        <f>'G. Variables'!D55</f>
        <v>0</v>
      </c>
      <c r="C28" s="841"/>
      <c r="D28" s="835">
        <f>'G. Variables'!E55</f>
        <v>0</v>
      </c>
      <c r="E28" s="867"/>
      <c r="F28" s="835">
        <f>'G. Variables'!F55</f>
        <v>0</v>
      </c>
      <c r="G28" s="841"/>
      <c r="H28" s="835">
        <f>'G. Variables'!G55</f>
        <v>0</v>
      </c>
      <c r="I28" s="867"/>
      <c r="J28" s="836">
        <f>'G. Variables'!H55</f>
        <v>0</v>
      </c>
    </row>
    <row r="29" spans="1:10" s="150" customFormat="1" ht="15">
      <c r="A29" s="358">
        <f>'G. Variables'!A58</f>
        <v>0</v>
      </c>
      <c r="B29" s="841">
        <f>'G. Variables'!D58</f>
        <v>0</v>
      </c>
      <c r="C29" s="841"/>
      <c r="D29" s="835">
        <f>'G. Variables'!E58</f>
        <v>0</v>
      </c>
      <c r="E29" s="867"/>
      <c r="F29" s="835">
        <f>'G. Variables'!F58</f>
        <v>0</v>
      </c>
      <c r="G29" s="841"/>
      <c r="H29" s="835">
        <f>'G. Variables'!G58</f>
        <v>0</v>
      </c>
      <c r="I29" s="867"/>
      <c r="J29" s="836">
        <f>'G. Variables'!H58</f>
        <v>0</v>
      </c>
    </row>
    <row r="30" spans="1:10" s="150" customFormat="1" ht="15">
      <c r="A30" s="358">
        <f>'G. Variables'!A61</f>
        <v>0</v>
      </c>
      <c r="B30" s="841">
        <f>'G. Variables'!D61</f>
        <v>0</v>
      </c>
      <c r="C30" s="841"/>
      <c r="D30" s="835">
        <f>'G. Variables'!E61</f>
        <v>0</v>
      </c>
      <c r="E30" s="867"/>
      <c r="F30" s="835">
        <f>'G. Variables'!F61</f>
        <v>0</v>
      </c>
      <c r="G30" s="841"/>
      <c r="H30" s="835">
        <f>'G. Variables'!G61</f>
        <v>0</v>
      </c>
      <c r="I30" s="867"/>
      <c r="J30" s="836">
        <f>'G. Variables'!H61</f>
        <v>0</v>
      </c>
    </row>
    <row r="31" spans="1:10" s="146" customFormat="1" ht="15">
      <c r="A31" s="358">
        <f>'G. Variables'!A64</f>
        <v>0</v>
      </c>
      <c r="B31" s="841">
        <f>'G. Variables'!D64</f>
        <v>0</v>
      </c>
      <c r="C31" s="841"/>
      <c r="D31" s="835">
        <f>'G. Variables'!E64</f>
        <v>0</v>
      </c>
      <c r="E31" s="867"/>
      <c r="F31" s="835">
        <f>'G. Variables'!F64</f>
        <v>0</v>
      </c>
      <c r="G31" s="841"/>
      <c r="H31" s="835">
        <f>'G. Variables'!G64</f>
        <v>0</v>
      </c>
      <c r="I31" s="867"/>
      <c r="J31" s="836">
        <f>'G. Variables'!H64</f>
        <v>0</v>
      </c>
    </row>
    <row r="32" spans="1:10" s="146" customFormat="1" ht="15">
      <c r="A32" s="358">
        <f>'G. Variables'!A67</f>
        <v>0</v>
      </c>
      <c r="B32" s="841">
        <f>'G. Variables'!D67</f>
        <v>0</v>
      </c>
      <c r="C32" s="841"/>
      <c r="D32" s="835">
        <f>'G. Variables'!E67</f>
        <v>0</v>
      </c>
      <c r="E32" s="867"/>
      <c r="F32" s="835">
        <f>'G. Variables'!F67</f>
        <v>0</v>
      </c>
      <c r="G32" s="841"/>
      <c r="H32" s="835">
        <f>'G. Variables'!G67</f>
        <v>0</v>
      </c>
      <c r="I32" s="867"/>
      <c r="J32" s="836">
        <f>'G. Variables'!H67</f>
        <v>0</v>
      </c>
    </row>
    <row r="33" spans="1:10" s="146" customFormat="1" ht="18" customHeight="1">
      <c r="A33" s="625" t="s">
        <v>216</v>
      </c>
      <c r="B33" s="850">
        <f>B24</f>
        <v>0</v>
      </c>
      <c r="C33" s="844"/>
      <c r="D33" s="851">
        <f>D24</f>
        <v>0</v>
      </c>
      <c r="E33" s="868"/>
      <c r="F33" s="851">
        <f>F24</f>
        <v>0</v>
      </c>
      <c r="G33" s="844"/>
      <c r="H33" s="851">
        <f>H24</f>
        <v>0</v>
      </c>
      <c r="I33" s="868"/>
      <c r="J33" s="852">
        <f>J24</f>
        <v>0</v>
      </c>
    </row>
    <row r="34" spans="1:10" ht="25.5" customHeight="1" thickBot="1">
      <c r="A34" s="482" t="s">
        <v>1</v>
      </c>
      <c r="B34" s="860">
        <f>B27+B33</f>
        <v>0</v>
      </c>
      <c r="C34" s="860"/>
      <c r="D34" s="869">
        <f>D27+D33</f>
        <v>0</v>
      </c>
      <c r="E34" s="860"/>
      <c r="F34" s="869">
        <f>F27+F33</f>
        <v>0</v>
      </c>
      <c r="G34" s="860"/>
      <c r="H34" s="869">
        <f>H27+H33</f>
        <v>0</v>
      </c>
      <c r="I34" s="860"/>
      <c r="J34" s="862">
        <f>J27+J33</f>
        <v>0</v>
      </c>
    </row>
    <row r="35" spans="1:10" ht="25.5" customHeight="1"/>
    <row r="37" spans="1:10" s="12" customFormat="1" ht="25.5" customHeight="1"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25.5" customHeight="1"/>
    <row r="39" spans="1:10" s="12" customFormat="1" ht="25.5" customHeight="1">
      <c r="B39" s="14"/>
      <c r="C39" s="14"/>
      <c r="D39" s="14"/>
      <c r="E39" s="14"/>
      <c r="F39" s="14"/>
      <c r="G39" s="14"/>
      <c r="H39" s="14"/>
      <c r="I39" s="14"/>
      <c r="J39" s="14"/>
    </row>
    <row r="40" spans="1:10" s="12" customFormat="1" ht="25.5" customHeight="1">
      <c r="B40" s="14"/>
      <c r="C40" s="14"/>
      <c r="D40" s="14"/>
      <c r="E40" s="14"/>
      <c r="F40" s="14"/>
      <c r="G40" s="14"/>
      <c r="H40" s="14"/>
      <c r="I40" s="14"/>
      <c r="J40" s="14"/>
    </row>
    <row r="41" spans="1:10" s="12" customFormat="1" ht="25.5" customHeight="1">
      <c r="B41" s="14"/>
      <c r="C41" s="14"/>
      <c r="D41" s="14"/>
      <c r="E41" s="14"/>
      <c r="F41" s="14"/>
      <c r="G41" s="14"/>
      <c r="H41" s="14"/>
      <c r="I41" s="14"/>
      <c r="J41" s="14"/>
    </row>
    <row r="42" spans="1:10" ht="25.5" customHeight="1"/>
    <row r="43" spans="1:10" ht="25.5" customHeight="1"/>
    <row r="44" spans="1:10" ht="25.5" customHeight="1"/>
    <row r="45" spans="1:10" ht="14.25" customHeight="1"/>
    <row r="46" spans="1:10" s="12" customFormat="1" ht="34.5" customHeight="1"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26.25" customHeight="1"/>
    <row r="48" spans="1:10" ht="26.25" customHeight="1"/>
    <row r="49" spans="1:10" ht="26.25" customHeight="1"/>
    <row r="50" spans="1:10" ht="26.25" customHeight="1"/>
    <row r="51" spans="1:10" ht="26.25" customHeight="1"/>
    <row r="52" spans="1:10" ht="26.25" customHeight="1"/>
    <row r="53" spans="1:10" ht="26.25" customHeight="1"/>
    <row r="54" spans="1:10" ht="26.25" customHeight="1"/>
    <row r="55" spans="1:10" ht="26.25" customHeight="1"/>
    <row r="56" spans="1:10" s="12" customFormat="1" ht="26.25" customHeight="1">
      <c r="B56" s="14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26.25" customHeight="1">
      <c r="B57" s="14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26.25" customHeight="1"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26.25" customHeight="1"/>
    <row r="60" spans="1:10" ht="26.25" customHeight="1"/>
    <row r="61" spans="1:10" ht="26.25" hidden="1" customHeight="1">
      <c r="A61" s="98" t="s">
        <v>287</v>
      </c>
      <c r="B61" s="99" t="s">
        <v>60</v>
      </c>
      <c r="C61" s="99" t="s">
        <v>61</v>
      </c>
      <c r="D61" s="99" t="s">
        <v>62</v>
      </c>
      <c r="E61" s="99" t="s">
        <v>176</v>
      </c>
      <c r="F61" s="100" t="s">
        <v>177</v>
      </c>
    </row>
    <row r="62" spans="1:10" ht="26.25" hidden="1" customHeight="1" thickBot="1">
      <c r="A62" s="101" t="str">
        <f>A5</f>
        <v>SERVICIOS EXTERIORES</v>
      </c>
      <c r="B62" s="102">
        <f>B5*Inicio!$D$23</f>
        <v>0</v>
      </c>
      <c r="C62" s="102">
        <f>D5*Inicio!$D$23</f>
        <v>0</v>
      </c>
      <c r="D62" s="102">
        <f>F5*Inicio!$D$23</f>
        <v>0</v>
      </c>
      <c r="E62" s="102">
        <f>H5*Inicio!$D$23</f>
        <v>0</v>
      </c>
      <c r="F62" s="103">
        <f>J5*Inicio!$D$23</f>
        <v>0</v>
      </c>
    </row>
    <row r="64" spans="1:10" ht="24" customHeight="1"/>
    <row r="65" spans="2:10" s="12" customFormat="1" ht="24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s="12" customFormat="1" ht="24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24" customHeight="1"/>
    <row r="68" spans="2:10" ht="24" customHeight="1"/>
    <row r="69" spans="2:10" s="12" customFormat="1" ht="21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s="12" customFormat="1">
      <c r="B70" s="14"/>
      <c r="C70" s="14"/>
      <c r="D70" s="14"/>
      <c r="E70" s="14"/>
      <c r="F70" s="14"/>
      <c r="G70" s="14"/>
      <c r="H70" s="14"/>
      <c r="I70" s="14"/>
      <c r="J70" s="14"/>
    </row>
  </sheetData>
  <sheetProtection password="A6E9" sheet="1" formatColumns="0"/>
  <mergeCells count="9">
    <mergeCell ref="A2:J2"/>
    <mergeCell ref="G26:H26"/>
    <mergeCell ref="I26:J26"/>
    <mergeCell ref="C3:D3"/>
    <mergeCell ref="E3:F3"/>
    <mergeCell ref="G3:H3"/>
    <mergeCell ref="I3:J3"/>
    <mergeCell ref="C26:D26"/>
    <mergeCell ref="E26:F26"/>
  </mergeCells>
  <phoneticPr fontId="47" type="noConversion"/>
  <printOptions horizontalCentered="1" gridLinesSet="0"/>
  <pageMargins left="0.51181102362204722" right="0.51181102362204722" top="0.98425196850393704" bottom="0.51181102362204722" header="0.43307086614173229" footer="0.27559055118110237"/>
  <pageSetup paperSize="9" scale="85" orientation="landscape" horizontalDpi="240" verticalDpi="4294967292" r:id="rId1"/>
  <headerFooter alignWithMargins="0">
    <oddHeader>&amp;C&amp;14&amp;U&amp;A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Button 1">
              <controlPr defaultSize="0" print="0" autoFill="0" autoPict="0" macro="[0]!Inicio">
                <anchor moveWithCells="1" sizeWithCells="1">
                  <from>
                    <xdr:col>0</xdr:col>
                    <xdr:colOff>228600</xdr:colOff>
                    <xdr:row>0</xdr:row>
                    <xdr:rowOff>104775</xdr:rowOff>
                  </from>
                  <to>
                    <xdr:col>0</xdr:col>
                    <xdr:colOff>1428750</xdr:colOff>
                    <xdr:row>0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Q36"/>
  <sheetViews>
    <sheetView showGridLines="0" showZeros="0" zoomScaleNormal="100" workbookViewId="0">
      <pane activePane="bottomRight" state="frozen"/>
      <selection activeCell="C7" sqref="C7"/>
    </sheetView>
  </sheetViews>
  <sheetFormatPr baseColWidth="10" defaultColWidth="0" defaultRowHeight="18"/>
  <cols>
    <col min="1" max="1" width="2.625" style="62" customWidth="1"/>
    <col min="2" max="2" width="44.5" style="62" customWidth="1"/>
    <col min="3" max="3" width="8.875" style="62" customWidth="1"/>
    <col min="4" max="4" width="10.375" style="62" bestFit="1" customWidth="1"/>
    <col min="5" max="5" width="9" style="62" customWidth="1"/>
    <col min="6" max="6" width="8.875" style="62" customWidth="1"/>
    <col min="7" max="7" width="11.125" style="62" customWidth="1"/>
    <col min="8" max="8" width="7.75" style="62" bestFit="1" customWidth="1"/>
    <col min="9" max="9" width="9.625" style="62" customWidth="1"/>
    <col min="10" max="10" width="10.875" style="62" bestFit="1" customWidth="1"/>
    <col min="11" max="11" width="7.75" style="62" bestFit="1" customWidth="1"/>
    <col min="12" max="12" width="9.625" style="62" customWidth="1"/>
    <col min="13" max="13" width="10.875" style="62" bestFit="1" customWidth="1"/>
    <col min="14" max="14" width="11.375" style="62" bestFit="1" customWidth="1"/>
    <col min="15" max="15" width="9.625" style="62" customWidth="1"/>
    <col min="16" max="16" width="10.875" style="62" bestFit="1" customWidth="1"/>
    <col min="17" max="17" width="7.75" style="62" bestFit="1" customWidth="1"/>
    <col min="18" max="18" width="11.25" style="62" customWidth="1"/>
    <col min="19" max="16384" width="0" style="62" hidden="1"/>
  </cols>
  <sheetData>
    <row r="1" spans="1:17" ht="32.25" customHeight="1" thickBot="1"/>
    <row r="2" spans="1:17" ht="33" customHeight="1" thickBot="1">
      <c r="A2" s="1029" t="s">
        <v>39</v>
      </c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1030"/>
    </row>
    <row r="3" spans="1:17" s="73" customFormat="1" ht="33" customHeight="1">
      <c r="A3" s="168"/>
      <c r="B3" s="169"/>
      <c r="C3" s="1031" t="s">
        <v>60</v>
      </c>
      <c r="D3" s="1032"/>
      <c r="E3" s="1033"/>
      <c r="F3" s="1031" t="s">
        <v>61</v>
      </c>
      <c r="G3" s="1032"/>
      <c r="H3" s="1033"/>
      <c r="I3" s="1031" t="s">
        <v>62</v>
      </c>
      <c r="J3" s="1032"/>
      <c r="K3" s="1033"/>
      <c r="L3" s="1031" t="s">
        <v>176</v>
      </c>
      <c r="M3" s="1032"/>
      <c r="N3" s="1033"/>
      <c r="O3" s="1031" t="s">
        <v>177</v>
      </c>
      <c r="P3" s="1032"/>
      <c r="Q3" s="1034"/>
    </row>
    <row r="4" spans="1:17" s="179" customFormat="1" ht="24" customHeight="1">
      <c r="A4" s="192" t="s">
        <v>40</v>
      </c>
      <c r="C4" s="177"/>
      <c r="D4" s="178">
        <f>SUM(C5:C11)</f>
        <v>0</v>
      </c>
      <c r="E4" s="288">
        <v>1</v>
      </c>
      <c r="F4" s="177"/>
      <c r="G4" s="178">
        <f>SUM(F5:F11)</f>
        <v>0</v>
      </c>
      <c r="H4" s="288">
        <v>1</v>
      </c>
      <c r="I4" s="177"/>
      <c r="J4" s="178">
        <f>SUM(I5:I11)</f>
        <v>0</v>
      </c>
      <c r="K4" s="288">
        <v>1</v>
      </c>
      <c r="L4" s="177"/>
      <c r="M4" s="178">
        <f>SUM(L5:L11)</f>
        <v>0</v>
      </c>
      <c r="N4" s="288">
        <v>1</v>
      </c>
      <c r="O4" s="177"/>
      <c r="P4" s="178">
        <f>SUM(O5:O11)</f>
        <v>0</v>
      </c>
      <c r="Q4" s="293">
        <v>1</v>
      </c>
    </row>
    <row r="5" spans="1:17" s="171" customFormat="1" ht="15">
      <c r="A5" s="193"/>
      <c r="B5" s="171" t="s">
        <v>115</v>
      </c>
      <c r="C5" s="174">
        <f>Ventas!C22</f>
        <v>0</v>
      </c>
      <c r="D5" s="173"/>
      <c r="E5" s="289">
        <f>IF($D$4&lt;&gt;0,C5/$D$4,0)</f>
        <v>0</v>
      </c>
      <c r="F5" s="174">
        <f>Ventas!D22</f>
        <v>0</v>
      </c>
      <c r="G5" s="173"/>
      <c r="H5" s="289">
        <f>IF($G$4&lt;&gt;0,F5/$G$4,0)</f>
        <v>0</v>
      </c>
      <c r="I5" s="174">
        <f>Ventas!E22</f>
        <v>0</v>
      </c>
      <c r="J5" s="173"/>
      <c r="K5" s="289">
        <f>IF($J$4&lt;&gt;0,I5/$J$4,0)</f>
        <v>0</v>
      </c>
      <c r="L5" s="174">
        <f>Ventas!F22</f>
        <v>0</v>
      </c>
      <c r="M5" s="173"/>
      <c r="N5" s="289">
        <f>IF($M$4&lt;&gt;0,L5/$M$4,0)</f>
        <v>0</v>
      </c>
      <c r="O5" s="174">
        <f>Ventas!G22</f>
        <v>0</v>
      </c>
      <c r="P5" s="173"/>
      <c r="Q5" s="294">
        <f>IF($P$4&lt;&gt;0,O5/$P$4,0)</f>
        <v>0</v>
      </c>
    </row>
    <row r="6" spans="1:17" s="171" customFormat="1" ht="15">
      <c r="A6" s="194" t="s">
        <v>154</v>
      </c>
      <c r="B6" s="171" t="s">
        <v>42</v>
      </c>
      <c r="C6" s="174">
        <f>SUM(Circulantes!H19:H23)-SUM(Circulantes!E19:E23)</f>
        <v>0</v>
      </c>
      <c r="D6" s="173"/>
      <c r="E6" s="289">
        <f t="shared" ref="E6:E11" si="0">IF($D$4&lt;&gt;0,C6/$D$4,0)</f>
        <v>0</v>
      </c>
      <c r="F6" s="174">
        <f>SUM(Circulantes!K19:K23)-SUM(Circulantes!H19:H23)</f>
        <v>0</v>
      </c>
      <c r="G6" s="173"/>
      <c r="H6" s="289">
        <f t="shared" ref="H6:H11" si="1">IF($G$4&lt;&gt;0,F6/$G$4,0)</f>
        <v>0</v>
      </c>
      <c r="I6" s="174">
        <f>SUM(Circulantes!N19:N23)-SUM(Circulantes!K19:K23)</f>
        <v>0</v>
      </c>
      <c r="J6" s="173"/>
      <c r="K6" s="289">
        <f t="shared" ref="K6:K11" si="2">IF($J$4&lt;&gt;0,I6/$J$4,0)</f>
        <v>0</v>
      </c>
      <c r="L6" s="174">
        <f>SUM(Circulantes!Q19:Q23)-SUM(Circulantes!N19:N23)</f>
        <v>0</v>
      </c>
      <c r="M6" s="173"/>
      <c r="N6" s="289">
        <f t="shared" ref="N6:N11" si="3">IF($M$4&lt;&gt;0,L6/$M$4,0)</f>
        <v>0</v>
      </c>
      <c r="O6" s="174">
        <f>SUM(Circulantes!T19:T23)-SUM(Circulantes!Q19:Q23)</f>
        <v>0</v>
      </c>
      <c r="P6" s="173"/>
      <c r="Q6" s="294">
        <f t="shared" ref="Q6:Q11" si="4">IF($P$4&lt;&gt;0,O6/$P$4,0)</f>
        <v>0</v>
      </c>
    </row>
    <row r="7" spans="1:17" s="171" customFormat="1" ht="15">
      <c r="A7" s="170" t="s">
        <v>41</v>
      </c>
      <c r="B7" s="171" t="s">
        <v>234</v>
      </c>
      <c r="C7" s="172"/>
      <c r="D7" s="173"/>
      <c r="E7" s="289">
        <f t="shared" si="0"/>
        <v>0</v>
      </c>
      <c r="F7" s="172"/>
      <c r="G7" s="173"/>
      <c r="H7" s="289">
        <f t="shared" si="1"/>
        <v>0</v>
      </c>
      <c r="I7" s="172"/>
      <c r="J7" s="173"/>
      <c r="K7" s="289">
        <f t="shared" si="2"/>
        <v>0</v>
      </c>
      <c r="L7" s="172"/>
      <c r="M7" s="173"/>
      <c r="N7" s="289">
        <f t="shared" si="3"/>
        <v>0</v>
      </c>
      <c r="O7" s="172"/>
      <c r="P7" s="173"/>
      <c r="Q7" s="294">
        <f t="shared" si="4"/>
        <v>0</v>
      </c>
    </row>
    <row r="8" spans="1:17" s="171" customFormat="1" ht="15">
      <c r="A8" s="170" t="s">
        <v>41</v>
      </c>
      <c r="B8" s="171" t="s">
        <v>300</v>
      </c>
      <c r="C8" s="172"/>
      <c r="D8" s="173"/>
      <c r="E8" s="289">
        <f t="shared" si="0"/>
        <v>0</v>
      </c>
      <c r="F8" s="172"/>
      <c r="G8" s="173"/>
      <c r="H8" s="289">
        <f t="shared" si="1"/>
        <v>0</v>
      </c>
      <c r="I8" s="172"/>
      <c r="J8" s="173"/>
      <c r="K8" s="289">
        <f t="shared" si="2"/>
        <v>0</v>
      </c>
      <c r="L8" s="172"/>
      <c r="M8" s="173"/>
      <c r="N8" s="289">
        <f t="shared" si="3"/>
        <v>0</v>
      </c>
      <c r="O8" s="172"/>
      <c r="P8" s="173"/>
      <c r="Q8" s="294">
        <f t="shared" si="4"/>
        <v>0</v>
      </c>
    </row>
    <row r="9" spans="1:17" s="171" customFormat="1" ht="15">
      <c r="A9" s="170" t="s">
        <v>41</v>
      </c>
      <c r="B9" s="171" t="s">
        <v>299</v>
      </c>
      <c r="C9" s="172"/>
      <c r="D9" s="173"/>
      <c r="E9" s="289">
        <f t="shared" si="0"/>
        <v>0</v>
      </c>
      <c r="F9" s="172"/>
      <c r="G9" s="173"/>
      <c r="H9" s="289">
        <f t="shared" si="1"/>
        <v>0</v>
      </c>
      <c r="I9" s="172"/>
      <c r="J9" s="173"/>
      <c r="K9" s="289">
        <f t="shared" si="2"/>
        <v>0</v>
      </c>
      <c r="L9" s="172"/>
      <c r="M9" s="173"/>
      <c r="N9" s="289">
        <f t="shared" si="3"/>
        <v>0</v>
      </c>
      <c r="O9" s="172"/>
      <c r="P9" s="173"/>
      <c r="Q9" s="294">
        <f t="shared" si="4"/>
        <v>0</v>
      </c>
    </row>
    <row r="10" spans="1:17" s="171" customFormat="1" ht="15">
      <c r="A10" s="170" t="s">
        <v>41</v>
      </c>
      <c r="B10" s="171" t="s">
        <v>245</v>
      </c>
      <c r="C10" s="172"/>
      <c r="D10" s="173"/>
      <c r="E10" s="289">
        <f t="shared" si="0"/>
        <v>0</v>
      </c>
      <c r="F10" s="172"/>
      <c r="G10" s="173"/>
      <c r="H10" s="289">
        <f t="shared" si="1"/>
        <v>0</v>
      </c>
      <c r="I10" s="172"/>
      <c r="J10" s="173"/>
      <c r="K10" s="289">
        <f t="shared" si="2"/>
        <v>0</v>
      </c>
      <c r="L10" s="172"/>
      <c r="M10" s="173"/>
      <c r="N10" s="289">
        <f t="shared" si="3"/>
        <v>0</v>
      </c>
      <c r="O10" s="172"/>
      <c r="P10" s="173"/>
      <c r="Q10" s="294">
        <f t="shared" si="4"/>
        <v>0</v>
      </c>
    </row>
    <row r="11" spans="1:17" s="171" customFormat="1" ht="15">
      <c r="A11" s="170" t="s">
        <v>41</v>
      </c>
      <c r="B11" s="171" t="s">
        <v>165</v>
      </c>
      <c r="C11" s="172"/>
      <c r="D11" s="173"/>
      <c r="E11" s="289">
        <f t="shared" si="0"/>
        <v>0</v>
      </c>
      <c r="F11" s="172"/>
      <c r="G11" s="173"/>
      <c r="H11" s="289">
        <f t="shared" si="1"/>
        <v>0</v>
      </c>
      <c r="I11" s="172"/>
      <c r="J11" s="173"/>
      <c r="K11" s="289">
        <f t="shared" si="2"/>
        <v>0</v>
      </c>
      <c r="L11" s="172"/>
      <c r="M11" s="173"/>
      <c r="N11" s="289">
        <f t="shared" si="3"/>
        <v>0</v>
      </c>
      <c r="O11" s="172"/>
      <c r="P11" s="173"/>
      <c r="Q11" s="294">
        <f t="shared" si="4"/>
        <v>0</v>
      </c>
    </row>
    <row r="12" spans="1:17" s="171" customFormat="1" ht="15">
      <c r="A12" s="170" t="s">
        <v>3</v>
      </c>
      <c r="B12" s="171" t="s">
        <v>129</v>
      </c>
      <c r="C12" s="174"/>
      <c r="D12" s="173">
        <f>-'G. Variables'!D70</f>
        <v>0</v>
      </c>
      <c r="E12" s="289">
        <f>IF($D$4&lt;&gt;0,D12/$D$4,0)</f>
        <v>0</v>
      </c>
      <c r="F12" s="174"/>
      <c r="G12" s="173">
        <f>-'G. Variables'!E70</f>
        <v>0</v>
      </c>
      <c r="H12" s="289">
        <f>IF($G$4&lt;&gt;0,G12/$G$4,0)</f>
        <v>0</v>
      </c>
      <c r="I12" s="174"/>
      <c r="J12" s="173">
        <f>-'G. Variables'!F70</f>
        <v>0</v>
      </c>
      <c r="K12" s="289">
        <f>IF($J$4&lt;&gt;0,J12/$J$4,0)</f>
        <v>0</v>
      </c>
      <c r="L12" s="174"/>
      <c r="M12" s="173">
        <f>-'G. Variables'!G70</f>
        <v>0</v>
      </c>
      <c r="N12" s="289">
        <f>IF($M$4&lt;&gt;0,M12/$M$4,0)</f>
        <v>0</v>
      </c>
      <c r="O12" s="174"/>
      <c r="P12" s="173">
        <f>-'G. Variables'!H70</f>
        <v>0</v>
      </c>
      <c r="Q12" s="294">
        <f>IF($P$4&lt;&gt;0,P12/$P$4,0)</f>
        <v>0</v>
      </c>
    </row>
    <row r="13" spans="1:17" s="171" customFormat="1" ht="15">
      <c r="A13" s="170" t="s">
        <v>3</v>
      </c>
      <c r="B13" s="171" t="s">
        <v>130</v>
      </c>
      <c r="C13" s="174"/>
      <c r="D13" s="173">
        <f>-C6</f>
        <v>0</v>
      </c>
      <c r="E13" s="290">
        <f t="shared" ref="E13:E28" si="5">IF($D$4&lt;&gt;0,D13/$D$4,0)</f>
        <v>0</v>
      </c>
      <c r="F13" s="174"/>
      <c r="G13" s="173">
        <f>-F6</f>
        <v>0</v>
      </c>
      <c r="H13" s="290">
        <f t="shared" ref="H13:H25" si="6">IF($G$4&lt;&gt;0,G13/$G$4,0)</f>
        <v>0</v>
      </c>
      <c r="I13" s="174"/>
      <c r="J13" s="173">
        <f>-I6</f>
        <v>0</v>
      </c>
      <c r="K13" s="290">
        <f t="shared" ref="K13:K28" si="7">IF($J$4&lt;&gt;0,J13/$J$4,0)</f>
        <v>0</v>
      </c>
      <c r="L13" s="174"/>
      <c r="M13" s="173">
        <f>-L6</f>
        <v>0</v>
      </c>
      <c r="N13" s="290">
        <f t="shared" ref="N13:N28" si="8">IF($M$4&lt;&gt;0,M13/$M$4,0)</f>
        <v>0</v>
      </c>
      <c r="O13" s="174"/>
      <c r="P13" s="173">
        <f>-O6</f>
        <v>0</v>
      </c>
      <c r="Q13" s="295">
        <f t="shared" ref="Q13:Q28" si="9">IF($P$4&lt;&gt;0,P13/$P$4,0)</f>
        <v>0</v>
      </c>
    </row>
    <row r="14" spans="1:17" s="179" customFormat="1" ht="24" customHeight="1">
      <c r="A14" s="175" t="s">
        <v>43</v>
      </c>
      <c r="B14" s="176" t="s">
        <v>123</v>
      </c>
      <c r="C14" s="177"/>
      <c r="D14" s="178">
        <f>SUM(D4:D13)</f>
        <v>0</v>
      </c>
      <c r="E14" s="291">
        <f t="shared" si="5"/>
        <v>0</v>
      </c>
      <c r="F14" s="177"/>
      <c r="G14" s="178">
        <f>SUM(G4:G13)</f>
        <v>0</v>
      </c>
      <c r="H14" s="291">
        <f t="shared" si="6"/>
        <v>0</v>
      </c>
      <c r="I14" s="177"/>
      <c r="J14" s="178">
        <f>SUM(J4:J13)</f>
        <v>0</v>
      </c>
      <c r="K14" s="291">
        <f t="shared" si="7"/>
        <v>0</v>
      </c>
      <c r="L14" s="177"/>
      <c r="M14" s="178">
        <f>SUM(M4:M13)</f>
        <v>0</v>
      </c>
      <c r="N14" s="291">
        <f t="shared" si="8"/>
        <v>0</v>
      </c>
      <c r="O14" s="177"/>
      <c r="P14" s="178">
        <f>SUM(P4:P13)</f>
        <v>0</v>
      </c>
      <c r="Q14" s="296">
        <f t="shared" si="9"/>
        <v>0</v>
      </c>
    </row>
    <row r="15" spans="1:17" s="171" customFormat="1" ht="15">
      <c r="A15" s="170" t="s">
        <v>293</v>
      </c>
      <c r="B15" s="171" t="s">
        <v>294</v>
      </c>
      <c r="C15" s="174"/>
      <c r="D15" s="173">
        <f>-'G. Fijos'!B5</f>
        <v>0</v>
      </c>
      <c r="E15" s="290">
        <f t="shared" si="5"/>
        <v>0</v>
      </c>
      <c r="F15" s="174"/>
      <c r="G15" s="173">
        <f>-'G. Fijos'!D5</f>
        <v>0</v>
      </c>
      <c r="H15" s="290">
        <f t="shared" si="6"/>
        <v>0</v>
      </c>
      <c r="I15" s="174"/>
      <c r="J15" s="173">
        <f>-'G. Fijos'!F5</f>
        <v>0</v>
      </c>
      <c r="K15" s="290">
        <f t="shared" si="7"/>
        <v>0</v>
      </c>
      <c r="L15" s="174"/>
      <c r="M15" s="173">
        <f>-'G. Fijos'!H5</f>
        <v>0</v>
      </c>
      <c r="N15" s="290">
        <f t="shared" si="8"/>
        <v>0</v>
      </c>
      <c r="O15" s="174"/>
      <c r="P15" s="173">
        <f>-'G. Fijos'!J5</f>
        <v>0</v>
      </c>
      <c r="Q15" s="295">
        <f t="shared" si="9"/>
        <v>0</v>
      </c>
    </row>
    <row r="16" spans="1:17" s="179" customFormat="1" ht="24" customHeight="1">
      <c r="A16" s="175" t="s">
        <v>44</v>
      </c>
      <c r="B16" s="176" t="s">
        <v>295</v>
      </c>
      <c r="C16" s="177"/>
      <c r="D16" s="178">
        <f>SUM(D14:D15)</f>
        <v>0</v>
      </c>
      <c r="E16" s="291">
        <f t="shared" si="5"/>
        <v>0</v>
      </c>
      <c r="F16" s="177"/>
      <c r="G16" s="178">
        <f>SUM(G14:G15)</f>
        <v>0</v>
      </c>
      <c r="H16" s="291">
        <f t="shared" si="6"/>
        <v>0</v>
      </c>
      <c r="I16" s="177"/>
      <c r="J16" s="178">
        <f>SUM(J14:J15)</f>
        <v>0</v>
      </c>
      <c r="K16" s="291">
        <f t="shared" si="7"/>
        <v>0</v>
      </c>
      <c r="L16" s="177"/>
      <c r="M16" s="178">
        <f>SUM(M14:M15)</f>
        <v>0</v>
      </c>
      <c r="N16" s="291">
        <f t="shared" si="8"/>
        <v>0</v>
      </c>
      <c r="O16" s="177"/>
      <c r="P16" s="178">
        <f>SUM(P14:P15)</f>
        <v>0</v>
      </c>
      <c r="Q16" s="296">
        <f t="shared" si="9"/>
        <v>0</v>
      </c>
    </row>
    <row r="17" spans="1:17" s="171" customFormat="1" ht="15">
      <c r="A17" s="180" t="s">
        <v>293</v>
      </c>
      <c r="B17" s="181" t="s">
        <v>117</v>
      </c>
      <c r="C17" s="182"/>
      <c r="D17" s="183">
        <f>-'G. Fijos'!B17</f>
        <v>0</v>
      </c>
      <c r="E17" s="290">
        <f t="shared" si="5"/>
        <v>0</v>
      </c>
      <c r="F17" s="182"/>
      <c r="G17" s="183">
        <f>-'G. Fijos'!D17</f>
        <v>0</v>
      </c>
      <c r="H17" s="290">
        <f t="shared" si="6"/>
        <v>0</v>
      </c>
      <c r="I17" s="182"/>
      <c r="J17" s="183">
        <f>-'G. Fijos'!F17</f>
        <v>0</v>
      </c>
      <c r="K17" s="290">
        <f t="shared" si="7"/>
        <v>0</v>
      </c>
      <c r="L17" s="182"/>
      <c r="M17" s="183">
        <f>-'G. Fijos'!H17</f>
        <v>0</v>
      </c>
      <c r="N17" s="290">
        <f t="shared" si="8"/>
        <v>0</v>
      </c>
      <c r="O17" s="182"/>
      <c r="P17" s="183">
        <f>-'G. Fijos'!J17</f>
        <v>0</v>
      </c>
      <c r="Q17" s="295">
        <f t="shared" si="9"/>
        <v>0</v>
      </c>
    </row>
    <row r="18" spans="1:17" s="179" customFormat="1" ht="24" customHeight="1">
      <c r="A18" s="184" t="s">
        <v>44</v>
      </c>
      <c r="B18" s="179" t="s">
        <v>387</v>
      </c>
      <c r="C18" s="185"/>
      <c r="D18" s="186">
        <f>SUM(D16:D17)</f>
        <v>0</v>
      </c>
      <c r="E18" s="291">
        <f t="shared" si="5"/>
        <v>0</v>
      </c>
      <c r="F18" s="185"/>
      <c r="G18" s="186">
        <f>SUM(G16:G17)</f>
        <v>0</v>
      </c>
      <c r="H18" s="291">
        <f t="shared" si="6"/>
        <v>0</v>
      </c>
      <c r="I18" s="185"/>
      <c r="J18" s="186">
        <f>SUM(J16:J17)</f>
        <v>0</v>
      </c>
      <c r="K18" s="291">
        <f t="shared" si="7"/>
        <v>0</v>
      </c>
      <c r="L18" s="185"/>
      <c r="M18" s="186">
        <f>SUM(M16:M17)</f>
        <v>0</v>
      </c>
      <c r="N18" s="291">
        <f t="shared" si="8"/>
        <v>0</v>
      </c>
      <c r="O18" s="185"/>
      <c r="P18" s="186">
        <f>SUM(P16:P17)</f>
        <v>0</v>
      </c>
      <c r="Q18" s="296">
        <f t="shared" si="9"/>
        <v>0</v>
      </c>
    </row>
    <row r="19" spans="1:17" s="171" customFormat="1" ht="15">
      <c r="A19" s="170" t="s">
        <v>293</v>
      </c>
      <c r="B19" s="171" t="s">
        <v>296</v>
      </c>
      <c r="C19" s="174"/>
      <c r="D19" s="173">
        <f>-'G. Fijos'!B18</f>
        <v>0</v>
      </c>
      <c r="E19" s="290">
        <f t="shared" si="5"/>
        <v>0</v>
      </c>
      <c r="F19" s="174"/>
      <c r="G19" s="173">
        <f>-'G. Fijos'!D18</f>
        <v>0</v>
      </c>
      <c r="H19" s="290">
        <f t="shared" si="6"/>
        <v>0</v>
      </c>
      <c r="I19" s="174"/>
      <c r="J19" s="173">
        <f>-'G. Fijos'!F18</f>
        <v>0</v>
      </c>
      <c r="K19" s="290">
        <f t="shared" si="7"/>
        <v>0</v>
      </c>
      <c r="L19" s="174"/>
      <c r="M19" s="173">
        <f>-'G. Fijos'!H18</f>
        <v>0</v>
      </c>
      <c r="N19" s="290">
        <f t="shared" si="8"/>
        <v>0</v>
      </c>
      <c r="O19" s="174"/>
      <c r="P19" s="173">
        <f>-'G. Fijos'!J18</f>
        <v>0</v>
      </c>
      <c r="Q19" s="295">
        <f t="shared" si="9"/>
        <v>0</v>
      </c>
    </row>
    <row r="20" spans="1:17" s="179" customFormat="1" ht="24" customHeight="1">
      <c r="A20" s="175" t="s">
        <v>44</v>
      </c>
      <c r="B20" s="200" t="s">
        <v>386</v>
      </c>
      <c r="C20" s="177"/>
      <c r="D20" s="178">
        <f>SUM(D18:D19)</f>
        <v>0</v>
      </c>
      <c r="E20" s="291">
        <f t="shared" si="5"/>
        <v>0</v>
      </c>
      <c r="F20" s="177"/>
      <c r="G20" s="178">
        <f>SUM(G18:G19)</f>
        <v>0</v>
      </c>
      <c r="H20" s="291">
        <f t="shared" si="6"/>
        <v>0</v>
      </c>
      <c r="I20" s="177"/>
      <c r="J20" s="178">
        <f>SUM(J18:J19)</f>
        <v>0</v>
      </c>
      <c r="K20" s="291">
        <f t="shared" si="7"/>
        <v>0</v>
      </c>
      <c r="L20" s="177"/>
      <c r="M20" s="178">
        <f>SUM(M18:M19)</f>
        <v>0</v>
      </c>
      <c r="N20" s="291">
        <f t="shared" si="8"/>
        <v>0</v>
      </c>
      <c r="O20" s="177"/>
      <c r="P20" s="178">
        <f>SUM(P18:P19)</f>
        <v>0</v>
      </c>
      <c r="Q20" s="296">
        <f t="shared" si="9"/>
        <v>0</v>
      </c>
    </row>
    <row r="21" spans="1:17" s="171" customFormat="1" ht="15">
      <c r="A21" s="180" t="s">
        <v>2</v>
      </c>
      <c r="B21" s="181" t="s">
        <v>120</v>
      </c>
      <c r="C21" s="182"/>
      <c r="D21" s="183">
        <f>-'G. Fijos'!B21</f>
        <v>0</v>
      </c>
      <c r="E21" s="290">
        <f t="shared" si="5"/>
        <v>0</v>
      </c>
      <c r="F21" s="182"/>
      <c r="G21" s="183">
        <f>-'G. Fijos'!D21</f>
        <v>0</v>
      </c>
      <c r="H21" s="290">
        <f t="shared" si="6"/>
        <v>0</v>
      </c>
      <c r="I21" s="182"/>
      <c r="J21" s="183">
        <f>-'G. Fijos'!F21</f>
        <v>0</v>
      </c>
      <c r="K21" s="290">
        <f t="shared" si="7"/>
        <v>0</v>
      </c>
      <c r="L21" s="182"/>
      <c r="M21" s="183">
        <f>-'G. Fijos'!H21</f>
        <v>0</v>
      </c>
      <c r="N21" s="290">
        <f t="shared" si="8"/>
        <v>0</v>
      </c>
      <c r="O21" s="182"/>
      <c r="P21" s="183">
        <f>-'G. Fijos'!J21</f>
        <v>0</v>
      </c>
      <c r="Q21" s="295">
        <f t="shared" si="9"/>
        <v>0</v>
      </c>
    </row>
    <row r="22" spans="1:17" s="179" customFormat="1" ht="24" customHeight="1">
      <c r="A22" s="175" t="s">
        <v>44</v>
      </c>
      <c r="B22" s="176" t="s">
        <v>385</v>
      </c>
      <c r="C22" s="177"/>
      <c r="D22" s="178">
        <f>SUM(D20:D21)</f>
        <v>0</v>
      </c>
      <c r="E22" s="291">
        <f t="shared" si="5"/>
        <v>0</v>
      </c>
      <c r="F22" s="177"/>
      <c r="G22" s="178">
        <f>SUM(G20:G21)</f>
        <v>0</v>
      </c>
      <c r="H22" s="291">
        <f t="shared" si="6"/>
        <v>0</v>
      </c>
      <c r="I22" s="177"/>
      <c r="J22" s="178">
        <f>SUM(J20:J21)</f>
        <v>0</v>
      </c>
      <c r="K22" s="291">
        <f t="shared" si="7"/>
        <v>0</v>
      </c>
      <c r="L22" s="177"/>
      <c r="M22" s="178">
        <f>SUM(M20:M21)</f>
        <v>0</v>
      </c>
      <c r="N22" s="291">
        <f t="shared" si="8"/>
        <v>0</v>
      </c>
      <c r="O22" s="177"/>
      <c r="P22" s="178">
        <f>SUM(P20:P21)</f>
        <v>0</v>
      </c>
      <c r="Q22" s="296">
        <f t="shared" si="9"/>
        <v>0</v>
      </c>
    </row>
    <row r="23" spans="1:17" s="171" customFormat="1" ht="15">
      <c r="A23" s="180" t="s">
        <v>2</v>
      </c>
      <c r="B23" s="181" t="s">
        <v>236</v>
      </c>
      <c r="C23" s="359">
        <f>Inicio!$D$30</f>
        <v>0.25</v>
      </c>
      <c r="D23" s="183">
        <f>IF(D22&gt;0,-D22*C23,0)</f>
        <v>0</v>
      </c>
      <c r="E23" s="290">
        <f t="shared" si="5"/>
        <v>0</v>
      </c>
      <c r="F23" s="359">
        <f>C23</f>
        <v>0.25</v>
      </c>
      <c r="G23" s="183">
        <f>IF(G22&gt;0,-G22*F23,0)</f>
        <v>0</v>
      </c>
      <c r="H23" s="290">
        <f t="shared" si="6"/>
        <v>0</v>
      </c>
      <c r="I23" s="359">
        <f>F23</f>
        <v>0.25</v>
      </c>
      <c r="J23" s="183">
        <f>IF(J22&gt;0,-J22*I23,0)</f>
        <v>0</v>
      </c>
      <c r="K23" s="290">
        <f t="shared" si="7"/>
        <v>0</v>
      </c>
      <c r="L23" s="359">
        <f>I23</f>
        <v>0.25</v>
      </c>
      <c r="M23" s="183">
        <f>IF(M22&gt;0,-M22*L23,0)</f>
        <v>0</v>
      </c>
      <c r="N23" s="290">
        <f t="shared" si="8"/>
        <v>0</v>
      </c>
      <c r="O23" s="359">
        <f>L23</f>
        <v>0.25</v>
      </c>
      <c r="P23" s="183">
        <f>IF(P22&gt;0,-P22*O23,0)</f>
        <v>0</v>
      </c>
      <c r="Q23" s="295">
        <f t="shared" si="9"/>
        <v>0</v>
      </c>
    </row>
    <row r="24" spans="1:17" s="179" customFormat="1" ht="24" customHeight="1">
      <c r="A24" s="175" t="s">
        <v>44</v>
      </c>
      <c r="B24" s="176" t="s">
        <v>46</v>
      </c>
      <c r="C24" s="177"/>
      <c r="D24" s="178">
        <f>SUM(D22:D23)</f>
        <v>0</v>
      </c>
      <c r="E24" s="291">
        <f t="shared" si="5"/>
        <v>0</v>
      </c>
      <c r="F24" s="177"/>
      <c r="G24" s="178">
        <f>SUM(G22:G23)</f>
        <v>0</v>
      </c>
      <c r="H24" s="291">
        <f t="shared" si="6"/>
        <v>0</v>
      </c>
      <c r="I24" s="177"/>
      <c r="J24" s="178">
        <f>SUM(J22:J23)</f>
        <v>0</v>
      </c>
      <c r="K24" s="291">
        <f t="shared" si="7"/>
        <v>0</v>
      </c>
      <c r="L24" s="177"/>
      <c r="M24" s="178">
        <f>SUM(M22:M23)</f>
        <v>0</v>
      </c>
      <c r="N24" s="291">
        <f t="shared" si="8"/>
        <v>0</v>
      </c>
      <c r="O24" s="177"/>
      <c r="P24" s="178">
        <f>SUM(P22:P23)</f>
        <v>0</v>
      </c>
      <c r="Q24" s="296">
        <f t="shared" si="9"/>
        <v>0</v>
      </c>
    </row>
    <row r="25" spans="1:17" s="171" customFormat="1" ht="15">
      <c r="A25" s="180" t="s">
        <v>2</v>
      </c>
      <c r="B25" s="181" t="s">
        <v>237</v>
      </c>
      <c r="C25" s="359">
        <f>Inicio!$D$33</f>
        <v>0</v>
      </c>
      <c r="D25" s="183">
        <f>IF(D24&gt;0,-D24*C25,0)</f>
        <v>0</v>
      </c>
      <c r="E25" s="290">
        <f t="shared" si="5"/>
        <v>0</v>
      </c>
      <c r="F25" s="359">
        <f>C25</f>
        <v>0</v>
      </c>
      <c r="G25" s="183">
        <f>IF(G24&gt;0,-G24*F25,0)</f>
        <v>0</v>
      </c>
      <c r="H25" s="290">
        <f t="shared" si="6"/>
        <v>0</v>
      </c>
      <c r="I25" s="359">
        <f>F25</f>
        <v>0</v>
      </c>
      <c r="J25" s="183">
        <f>IF(J24&gt;0,-J24*I25,0)</f>
        <v>0</v>
      </c>
      <c r="K25" s="290">
        <f t="shared" si="7"/>
        <v>0</v>
      </c>
      <c r="L25" s="359">
        <f>I25</f>
        <v>0</v>
      </c>
      <c r="M25" s="183">
        <f>IF(M24&gt;0,-M24*L25,0)</f>
        <v>0</v>
      </c>
      <c r="N25" s="290">
        <f t="shared" si="8"/>
        <v>0</v>
      </c>
      <c r="O25" s="359">
        <f>L25</f>
        <v>0</v>
      </c>
      <c r="P25" s="183">
        <f>IF(P24&gt;0,-P24*O25,0)</f>
        <v>0</v>
      </c>
      <c r="Q25" s="295">
        <f t="shared" si="9"/>
        <v>0</v>
      </c>
    </row>
    <row r="26" spans="1:17" s="71" customFormat="1" ht="33" customHeight="1" thickBot="1">
      <c r="A26" s="187" t="s">
        <v>44</v>
      </c>
      <c r="B26" s="188" t="s">
        <v>47</v>
      </c>
      <c r="C26" s="189"/>
      <c r="D26" s="735">
        <f>IF(D24&gt;0,SUM(D24:D25),D24)</f>
        <v>0</v>
      </c>
      <c r="E26" s="292">
        <f t="shared" si="5"/>
        <v>0</v>
      </c>
      <c r="F26" s="189"/>
      <c r="G26" s="735">
        <f>IF(G24&gt;0,SUM(G24:G25),G24)</f>
        <v>0</v>
      </c>
      <c r="H26" s="292">
        <f>IF($G$4&lt;&gt;0,G26/$G$4,0)</f>
        <v>0</v>
      </c>
      <c r="I26" s="189"/>
      <c r="J26" s="735">
        <f>IF(J24&gt;0,SUM(J24:J25),J24)</f>
        <v>0</v>
      </c>
      <c r="K26" s="292">
        <f t="shared" si="7"/>
        <v>0</v>
      </c>
      <c r="L26" s="189"/>
      <c r="M26" s="735">
        <f>IF(M24&gt;0,SUM(M24:M25),M24)</f>
        <v>0</v>
      </c>
      <c r="N26" s="292">
        <f t="shared" si="8"/>
        <v>0</v>
      </c>
      <c r="O26" s="189"/>
      <c r="P26" s="735">
        <f>IF(P24&gt;0,SUM(P24:P25),P24)</f>
        <v>0</v>
      </c>
      <c r="Q26" s="297">
        <f t="shared" si="9"/>
        <v>0</v>
      </c>
    </row>
    <row r="27" spans="1:17" s="71" customFormat="1" ht="9.75" customHeight="1" thickBot="1">
      <c r="A27" s="515"/>
      <c r="B27" s="516"/>
      <c r="C27" s="517"/>
      <c r="D27" s="517"/>
      <c r="E27" s="532"/>
      <c r="F27" s="517"/>
      <c r="G27" s="517"/>
      <c r="H27" s="289"/>
      <c r="I27" s="517"/>
      <c r="J27" s="517"/>
      <c r="K27" s="289"/>
      <c r="L27" s="517"/>
      <c r="M27" s="517"/>
      <c r="N27" s="289"/>
      <c r="O27" s="517"/>
      <c r="P27" s="517"/>
      <c r="Q27" s="534"/>
    </row>
    <row r="28" spans="1:17" s="73" customFormat="1" ht="33" customHeight="1" thickBot="1">
      <c r="A28" s="190" t="s">
        <v>238</v>
      </c>
      <c r="B28" s="191"/>
      <c r="C28" s="201"/>
      <c r="D28" s="736">
        <f>D26-C10+Inversiones!K26</f>
        <v>0</v>
      </c>
      <c r="E28" s="533">
        <f t="shared" si="5"/>
        <v>0</v>
      </c>
      <c r="F28" s="201"/>
      <c r="G28" s="736">
        <f>G26-F10+Inversiones!N26</f>
        <v>0</v>
      </c>
      <c r="H28" s="533">
        <f>IF($G$4&lt;&gt;0,G28/$G$4,0)</f>
        <v>0</v>
      </c>
      <c r="I28" s="201"/>
      <c r="J28" s="736">
        <f>J26-I10+Inversiones!Q26</f>
        <v>0</v>
      </c>
      <c r="K28" s="533">
        <f t="shared" si="7"/>
        <v>0</v>
      </c>
      <c r="L28" s="201"/>
      <c r="M28" s="736">
        <f>M26-L10+Inversiones!T26</f>
        <v>0</v>
      </c>
      <c r="N28" s="533">
        <f t="shared" si="8"/>
        <v>0</v>
      </c>
      <c r="O28" s="201"/>
      <c r="P28" s="736">
        <f>P26-O10+Inversiones!W26</f>
        <v>0</v>
      </c>
      <c r="Q28" s="535">
        <f t="shared" si="9"/>
        <v>0</v>
      </c>
    </row>
    <row r="29" spans="1:17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</row>
    <row r="30" spans="1:17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</row>
    <row r="31" spans="1:17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</row>
    <row r="32" spans="1:17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</row>
    <row r="34" spans="1:17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</row>
    <row r="35" spans="1:17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  <row r="36" spans="1:17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</row>
  </sheetData>
  <sheetProtection password="A6E9" sheet="1" formatColumns="0"/>
  <mergeCells count="6">
    <mergeCell ref="A2:Q2"/>
    <mergeCell ref="C3:E3"/>
    <mergeCell ref="F3:H3"/>
    <mergeCell ref="I3:K3"/>
    <mergeCell ref="L3:N3"/>
    <mergeCell ref="O3:Q3"/>
  </mergeCells>
  <phoneticPr fontId="0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scale="68" orientation="landscape" horizontalDpi="240" verticalDpi="4294967292" r:id="rId1"/>
  <headerFooter alignWithMargins="0">
    <oddHeader>&amp;C&amp;"Trebuchet MS,Normal"&amp;14&amp;U&amp;A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Button 1">
              <controlPr defaultSize="0" print="0" autoFill="0" autoPict="0" macro="[0]!Inicio">
                <anchor moveWithCells="1" sizeWithCells="1">
                  <from>
                    <xdr:col>1</xdr:col>
                    <xdr:colOff>409575</xdr:colOff>
                    <xdr:row>0</xdr:row>
                    <xdr:rowOff>47625</xdr:rowOff>
                  </from>
                  <to>
                    <xdr:col>1</xdr:col>
                    <xdr:colOff>1600200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23</vt:i4>
      </vt:variant>
    </vt:vector>
  </HeadingPairs>
  <TitlesOfParts>
    <vt:vector size="43" baseType="lpstr">
      <vt:lpstr>Inicio</vt:lpstr>
      <vt:lpstr>Balance inicial</vt:lpstr>
      <vt:lpstr>Inversiones</vt:lpstr>
      <vt:lpstr>Financiación a lp</vt:lpstr>
      <vt:lpstr>Ventas</vt:lpstr>
      <vt:lpstr>G. Variables</vt:lpstr>
      <vt:lpstr>G. Personal</vt:lpstr>
      <vt:lpstr>G. Fijos</vt:lpstr>
      <vt:lpstr>Resultados</vt:lpstr>
      <vt:lpstr>Circulantes</vt:lpstr>
      <vt:lpstr>Balances</vt:lpstr>
      <vt:lpstr>Presupuesto de capital</vt:lpstr>
      <vt:lpstr>Hoja de trabajo</vt:lpstr>
      <vt:lpstr>Tesorería</vt:lpstr>
      <vt:lpstr>Tesorería trimestral</vt:lpstr>
      <vt:lpstr>E.F.E.</vt:lpstr>
      <vt:lpstr>Ratios</vt:lpstr>
      <vt:lpstr>Punto de equilibrio</vt:lpstr>
      <vt:lpstr>INFORME</vt:lpstr>
      <vt:lpstr>INFORME 2</vt:lpstr>
      <vt:lpstr>'Balance inicial'!Área_de_impresión</vt:lpstr>
      <vt:lpstr>Balances!Área_de_impresión</vt:lpstr>
      <vt:lpstr>Circulantes!Área_de_impresión</vt:lpstr>
      <vt:lpstr>E.F.E.!Área_de_impresión</vt:lpstr>
      <vt:lpstr>'Financiación a lp'!Área_de_impresión</vt:lpstr>
      <vt:lpstr>'G. Fijos'!Área_de_impresión</vt:lpstr>
      <vt:lpstr>'G. Personal'!Área_de_impresión</vt:lpstr>
      <vt:lpstr>'G. Variables'!Área_de_impresión</vt:lpstr>
      <vt:lpstr>'Hoja de trabajo'!Área_de_impresión</vt:lpstr>
      <vt:lpstr>Inversiones!Área_de_impresión</vt:lpstr>
      <vt:lpstr>'Presupuesto de capital'!Área_de_impresión</vt:lpstr>
      <vt:lpstr>'Punto de equilibrio'!Área_de_impresión</vt:lpstr>
      <vt:lpstr>Ratios!Área_de_impresión</vt:lpstr>
      <vt:lpstr>Resultados!Área_de_impresión</vt:lpstr>
      <vt:lpstr>Tesorería!Área_de_impresión</vt:lpstr>
      <vt:lpstr>'Tesorería trimestral'!Área_de_impresión</vt:lpstr>
      <vt:lpstr>Ventas!Área_de_impresión</vt:lpstr>
      <vt:lpstr>'G. Variables'!Títulos_a_imprimir</vt:lpstr>
      <vt:lpstr>Inversiones!Títulos_a_imprimir</vt:lpstr>
      <vt:lpstr>Ratios!Títulos_a_imprimir</vt:lpstr>
      <vt:lpstr>Tesorería!Títulos_a_imprimir</vt:lpstr>
      <vt:lpstr>'Tesorería trimestral'!Títulos_a_imprimir</vt:lpstr>
      <vt:lpstr>Ventas!Títulos_a_imprimir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ViableDos</dc:title>
  <dc:subject>Versión para empresas de nueva creación</dc:subject>
  <dc:creator>Fernando Martínez Valdueza</dc:creator>
  <dc:description>Modelo de planificación financiera: cinco años, cinco productos/servicios/familias</dc:description>
  <cp:lastModifiedBy>José Ángel</cp:lastModifiedBy>
  <cp:revision>1</cp:revision>
  <cp:lastPrinted>2013-09-30T11:11:30Z</cp:lastPrinted>
  <dcterms:created xsi:type="dcterms:W3CDTF">1997-04-18T11:20:27Z</dcterms:created>
  <dcterms:modified xsi:type="dcterms:W3CDTF">2018-06-01T08:41:50Z</dcterms:modified>
</cp:coreProperties>
</file>